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matthewolivo/Downloads/"/>
    </mc:Choice>
  </mc:AlternateContent>
  <xr:revisionPtr revIDLastSave="0" documentId="8_{2426FA17-16FE-5548-8659-89728AC3776A}" xr6:coauthVersionLast="47" xr6:coauthVersionMax="47" xr10:uidLastSave="{00000000-0000-0000-0000-000000000000}"/>
  <bookViews>
    <workbookView xWindow="3300" yWindow="540" windowWidth="29720" windowHeight="15760" tabRatio="500" activeTab="4" xr2:uid="{00000000-000D-0000-FFFF-FFFF00000000}"/>
  </bookViews>
  <sheets>
    <sheet name="1. Inputs &amp; Assumptions" sheetId="2" r:id="rId1"/>
    <sheet name="2. Sustainable Growth (Q3)" sheetId="3" r:id="rId2"/>
    <sheet name="3. Financing Plan 1982-85 (Q4)" sheetId="4" r:id="rId3"/>
    <sheet name="4. Sensitivity" sheetId="5" r:id="rId4"/>
    <sheet name="5. Answers to 1 and 2" sheetId="6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8" i="5" l="1"/>
  <c r="A62" i="4"/>
  <c r="A30" i="3"/>
  <c r="F9" i="5"/>
  <c r="E9" i="5"/>
  <c r="D9" i="5"/>
  <c r="C9" i="5"/>
  <c r="B9" i="5"/>
  <c r="F8" i="5"/>
  <c r="E8" i="5"/>
  <c r="D8" i="5"/>
  <c r="C8" i="5"/>
  <c r="B8" i="5"/>
  <c r="F7" i="5"/>
  <c r="E7" i="5"/>
  <c r="D7" i="5"/>
  <c r="C7" i="5"/>
  <c r="B7" i="5"/>
  <c r="F6" i="5"/>
  <c r="E6" i="5"/>
  <c r="D6" i="5"/>
  <c r="C6" i="5"/>
  <c r="B6" i="5"/>
  <c r="F5" i="5"/>
  <c r="E5" i="5"/>
  <c r="D5" i="5"/>
  <c r="C5" i="5"/>
  <c r="B5" i="5"/>
  <c r="B55" i="4"/>
  <c r="B52" i="4"/>
  <c r="B49" i="4"/>
  <c r="B48" i="4"/>
  <c r="B50" i="4" s="1"/>
  <c r="F39" i="4"/>
  <c r="E39" i="4"/>
  <c r="D39" i="4"/>
  <c r="C39" i="4"/>
  <c r="B35" i="4"/>
  <c r="C35" i="4" s="1"/>
  <c r="B28" i="4"/>
  <c r="B26" i="4"/>
  <c r="B25" i="4"/>
  <c r="B27" i="4" s="1"/>
  <c r="B21" i="4"/>
  <c r="C21" i="4" s="1"/>
  <c r="F17" i="4"/>
  <c r="E17" i="4"/>
  <c r="D17" i="4"/>
  <c r="C17" i="4"/>
  <c r="F16" i="4"/>
  <c r="E16" i="4"/>
  <c r="D16" i="4"/>
  <c r="C16" i="4"/>
  <c r="F15" i="4"/>
  <c r="E15" i="4"/>
  <c r="D15" i="4"/>
  <c r="C15" i="4"/>
  <c r="F14" i="4"/>
  <c r="E14" i="4"/>
  <c r="D14" i="4"/>
  <c r="C14" i="4"/>
  <c r="F13" i="4"/>
  <c r="E13" i="4"/>
  <c r="D13" i="4"/>
  <c r="C13" i="4"/>
  <c r="F12" i="4"/>
  <c r="F11" i="4"/>
  <c r="E11" i="4"/>
  <c r="D11" i="4"/>
  <c r="C11" i="4"/>
  <c r="F10" i="4"/>
  <c r="E10" i="4"/>
  <c r="D10" i="4"/>
  <c r="C10" i="4"/>
  <c r="F9" i="4"/>
  <c r="E9" i="4"/>
  <c r="D9" i="4"/>
  <c r="C9" i="4"/>
  <c r="F8" i="4"/>
  <c r="E8" i="4"/>
  <c r="D8" i="4"/>
  <c r="C8" i="4"/>
  <c r="F7" i="4"/>
  <c r="E7" i="4"/>
  <c r="D7" i="4"/>
  <c r="C7" i="4"/>
  <c r="B17" i="3"/>
  <c r="B13" i="3"/>
  <c r="B8" i="3"/>
  <c r="C8" i="3" s="1"/>
  <c r="C7" i="3"/>
  <c r="B7" i="3"/>
  <c r="C6" i="3"/>
  <c r="B6" i="3"/>
  <c r="B5" i="3"/>
  <c r="B9" i="3" s="1"/>
  <c r="B11" i="3" s="1"/>
  <c r="B31" i="4" l="1"/>
  <c r="B32" i="4" s="1"/>
  <c r="B29" i="4"/>
  <c r="D35" i="4"/>
  <c r="C40" i="4"/>
  <c r="D21" i="4"/>
  <c r="C37" i="4"/>
  <c r="C38" i="4" s="1"/>
  <c r="C23" i="4"/>
  <c r="C36" i="4"/>
  <c r="C22" i="4"/>
  <c r="B51" i="4"/>
  <c r="C24" i="4"/>
  <c r="C5" i="3"/>
  <c r="C9" i="3" s="1"/>
  <c r="C11" i="3" s="1"/>
  <c r="B14" i="3" s="1"/>
  <c r="C25" i="4" l="1"/>
  <c r="C55" i="4"/>
  <c r="E35" i="4"/>
  <c r="E21" i="4"/>
  <c r="D37" i="4"/>
  <c r="D38" i="4" s="1"/>
  <c r="D40" i="4" s="1"/>
  <c r="D23" i="4"/>
  <c r="D22" i="4"/>
  <c r="D36" i="4"/>
  <c r="E37" i="4" l="1"/>
  <c r="E38" i="4" s="1"/>
  <c r="E23" i="4"/>
  <c r="E36" i="4"/>
  <c r="E22" i="4"/>
  <c r="F21" i="4"/>
  <c r="E40" i="4"/>
  <c r="F35" i="4"/>
  <c r="C26" i="4"/>
  <c r="C27" i="4"/>
  <c r="F36" i="4" l="1"/>
  <c r="F22" i="4"/>
  <c r="F37" i="4"/>
  <c r="F38" i="4" s="1"/>
  <c r="F40" i="4" s="1"/>
  <c r="F23" i="4"/>
  <c r="C31" i="4"/>
  <c r="C32" i="4"/>
  <c r="C41" i="4" l="1"/>
  <c r="C42" i="4" s="1"/>
  <c r="C44" i="4" l="1"/>
  <c r="C43" i="4"/>
  <c r="C48" i="4" s="1"/>
  <c r="D24" i="4" l="1"/>
  <c r="C45" i="4"/>
  <c r="C52" i="4" s="1"/>
  <c r="C49" i="4"/>
  <c r="C56" i="4" l="1"/>
  <c r="C28" i="4"/>
  <c r="C29" i="4" s="1"/>
  <c r="C30" i="4" s="1"/>
  <c r="D25" i="4"/>
  <c r="D55" i="4"/>
  <c r="C50" i="4"/>
  <c r="C57" i="4" l="1"/>
  <c r="C51" i="4"/>
  <c r="D26" i="4"/>
  <c r="D27" i="4"/>
  <c r="D31" i="4" l="1"/>
  <c r="D32" i="4"/>
  <c r="D41" i="4" l="1"/>
  <c r="D42" i="4" s="1"/>
  <c r="D44" i="4" l="1"/>
  <c r="D43" i="4"/>
  <c r="D48" i="4" s="1"/>
  <c r="E24" i="4" l="1"/>
  <c r="D45" i="4"/>
  <c r="D52" i="4" s="1"/>
  <c r="D49" i="4"/>
  <c r="D56" i="4" l="1"/>
  <c r="D28" i="4"/>
  <c r="D29" i="4" s="1"/>
  <c r="D30" i="4" s="1"/>
  <c r="E25" i="4"/>
  <c r="E55" i="4"/>
  <c r="D50" i="4"/>
  <c r="E26" i="4" l="1"/>
  <c r="E27" i="4"/>
  <c r="D57" i="4"/>
  <c r="D51" i="4"/>
  <c r="E31" i="4" l="1"/>
  <c r="E32" i="4"/>
  <c r="E41" i="4" l="1"/>
  <c r="E42" i="4" s="1"/>
  <c r="E43" i="4" l="1"/>
  <c r="E48" i="4" s="1"/>
  <c r="E44" i="4"/>
  <c r="E45" i="4" l="1"/>
  <c r="E52" i="4" s="1"/>
  <c r="E49" i="4"/>
  <c r="F24" i="4"/>
  <c r="E50" i="4"/>
  <c r="E57" i="4" s="1"/>
  <c r="E51" i="4"/>
  <c r="F55" i="4" l="1"/>
  <c r="F25" i="4"/>
  <c r="E56" i="4"/>
  <c r="E28" i="4"/>
  <c r="E29" i="4" s="1"/>
  <c r="E30" i="4" s="1"/>
  <c r="F26" i="4" l="1"/>
  <c r="F27" i="4"/>
  <c r="F31" i="4" l="1"/>
  <c r="F32" i="4"/>
  <c r="F41" i="4" l="1"/>
  <c r="F42" i="4" s="1"/>
  <c r="F44" i="4" l="1"/>
  <c r="F43" i="4"/>
  <c r="F48" i="4" s="1"/>
  <c r="F45" i="4" l="1"/>
  <c r="F52" i="4" s="1"/>
  <c r="F28" i="4" s="1"/>
  <c r="F29" i="4" s="1"/>
  <c r="F30" i="4" s="1"/>
  <c r="F49" i="4"/>
  <c r="F56" i="4" s="1"/>
  <c r="F50" i="4" l="1"/>
  <c r="F57" i="4" l="1"/>
  <c r="F51" i="4"/>
</calcChain>
</file>

<file path=xl/sharedStrings.xml><?xml version="1.0" encoding="utf-8"?>
<sst xmlns="http://schemas.openxmlformats.org/spreadsheetml/2006/main" count="109" uniqueCount="109">
  <si>
    <t>Inputs &amp; Assumptions</t>
  </si>
  <si>
    <t>1981 ACTUALS (starting point)</t>
  </si>
  <si>
    <t>Net operating revenues ($000)</t>
  </si>
  <si>
    <t>Net income ($000)</t>
  </si>
  <si>
    <t>Total assets ($000)</t>
  </si>
  <si>
    <t>Total debt ($000)</t>
  </si>
  <si>
    <t>Shareholders' equity ($000)</t>
  </si>
  <si>
    <t>Common shares outstanding (000, avg)</t>
  </si>
  <si>
    <t>Dividends per share ($)</t>
  </si>
  <si>
    <t>EPS 1981 ($)</t>
  </si>
  <si>
    <t>1982 planned capital expenditures ($000)</t>
  </si>
  <si>
    <t>FINANCIAL GOALS / POLICY TARGETS (management, 1982)</t>
  </si>
  <si>
    <t>Target debt / total capital ratio</t>
  </si>
  <si>
    <t>Target return on total capital (ROTC), after-tax</t>
  </si>
  <si>
    <t>Target return on equity (ROE), after-tax</t>
  </si>
  <si>
    <t>Target dividend payout ratio</t>
  </si>
  <si>
    <t>Desired nominal EPS growth (mgmt objective)</t>
  </si>
  <si>
    <t>Inflation-adjusted EPS growth objective</t>
  </si>
  <si>
    <t>Target avg. interest cost on debt (ceiling)</t>
  </si>
  <si>
    <t>Target interest coverage (EBIT/Interest)</t>
  </si>
  <si>
    <t>Capex growth rate per year</t>
  </si>
  <si>
    <t>FINANCING-MIX SCENARIO TOGGLE (1982-85 new external financing)</t>
  </si>
  <si>
    <t>% of new external financing raised as DEBT (plug)</t>
  </si>
  <si>
    <t>New common equity issue price assumption ($/share)</t>
  </si>
  <si>
    <t>Avg. interest rate on new/incremental debt</t>
  </si>
  <si>
    <t>Net margin held constant at 1981 level?</t>
  </si>
  <si>
    <t>Asset turnover held constant at 1981 level?</t>
  </si>
  <si>
    <t>Sustainable Growth Analysis — Q3</t>
  </si>
  <si>
    <t>Component drivers</t>
  </si>
  <si>
    <t>At Actual 1981 Leverage</t>
  </si>
  <si>
    <t>At 60% Target D/TC</t>
  </si>
  <si>
    <t>Management's stated growth objective</t>
  </si>
  <si>
    <t>Gap vs. sustainable growth at 60% target leverage</t>
  </si>
  <si>
    <t>Using management's own ROE/ROTC targets instead (simple check)</t>
  </si>
  <si>
    <t>Conclusion</t>
  </si>
  <si>
    <t>Financing Plan, 1982-1985 — Q4</t>
  </si>
  <si>
    <t>1981A</t>
  </si>
  <si>
    <t>1982E</t>
  </si>
  <si>
    <t>1983E</t>
  </si>
  <si>
    <t>1984E</t>
  </si>
  <si>
    <t>1985E</t>
  </si>
  <si>
    <t>KEY DRIVERS (change these to test different scenarios)</t>
  </si>
  <si>
    <t>Revenue growth rate, %/yr</t>
  </si>
  <si>
    <t>Capex growth rate, %/yr</t>
  </si>
  <si>
    <t>EBIT margin (income from ops / revenue) — for reference</t>
  </si>
  <si>
    <t>New external financing raised as debt (%)</t>
  </si>
  <si>
    <t>Effective tax rate</t>
  </si>
  <si>
    <t>Avg. interest rate on debt</t>
  </si>
  <si>
    <t>Net working capital / Revenue</t>
  </si>
  <si>
    <t>D&amp;A / Revenue</t>
  </si>
  <si>
    <t>Other income / Revenue</t>
  </si>
  <si>
    <t>New equity issue price ($/share)</t>
  </si>
  <si>
    <t>Dividend payout ratio</t>
  </si>
  <si>
    <t>Scheduled long-term debt repayment ($000)</t>
  </si>
  <si>
    <t>INCOME STATEMENT ($000)</t>
  </si>
  <si>
    <t>Net operating revenues</t>
  </si>
  <si>
    <t>Income from operations (EBIT)</t>
  </si>
  <si>
    <t>Other income</t>
  </si>
  <si>
    <t>Interest expense (on beginning-of-year debt)</t>
  </si>
  <si>
    <t>Pretax income</t>
  </si>
  <si>
    <t>Income taxes</t>
  </si>
  <si>
    <t>Net income</t>
  </si>
  <si>
    <t>Avg. common shares outstanding (000)</t>
  </si>
  <si>
    <t>EPS ($)</t>
  </si>
  <si>
    <t>EPS growth, %</t>
  </si>
  <si>
    <t>Dividends paid</t>
  </si>
  <si>
    <t>Addition to retained earnings</t>
  </si>
  <si>
    <t>SOURCES &amp; USES OF FUNDS ($000)</t>
  </si>
  <si>
    <t>Capital expenditures</t>
  </si>
  <si>
    <t>Increase in net working capital (use of funds)</t>
  </si>
  <si>
    <t>Scheduled debt repayment</t>
  </si>
  <si>
    <t>Total uses of funds</t>
  </si>
  <si>
    <t>External financing required (plug)</t>
  </si>
  <si>
    <t xml:space="preserve">  New debt issued</t>
  </si>
  <si>
    <t xml:space="preserve">  New equity issued ($)</t>
  </si>
  <si>
    <t xml:space="preserve">  New shares issued (000)</t>
  </si>
  <si>
    <t>BALANCE SHEET / CAPITAL STRUCTURE ($000)</t>
  </si>
  <si>
    <t>Total debt, end of year</t>
  </si>
  <si>
    <t>Shareholders' equity, end of year</t>
  </si>
  <si>
    <t>Total capital (Debt + Equity)</t>
  </si>
  <si>
    <t>Debt / Total capital</t>
  </si>
  <si>
    <t>Shares outstanding, end of year (000)</t>
  </si>
  <si>
    <t>CREDIT METRICS / POLICY CHECK</t>
  </si>
  <si>
    <t>Return on average equity</t>
  </si>
  <si>
    <t>Return on average total capital, after-tax</t>
  </si>
  <si>
    <t>Sensitivity — Sustainable Growth Rate vs. Payout and Target Leverage</t>
  </si>
  <si>
    <t>Payout \ Debt/Total Cap →</t>
  </si>
  <si>
    <t>Team F</t>
  </si>
  <si>
    <t>Sustainable growth rate</t>
  </si>
  <si>
    <t>Implied ROE</t>
  </si>
  <si>
    <t>Net profit margin</t>
  </si>
  <si>
    <t>Asset turnover</t>
  </si>
  <si>
    <t>Equity multiplier</t>
  </si>
  <si>
    <t>Retention rate,</t>
  </si>
  <si>
    <t xml:space="preserve">Internal sources </t>
  </si>
  <si>
    <t>Interest coverage</t>
  </si>
  <si>
    <t>Depreciation &amp; amortization</t>
  </si>
  <si>
    <t xml:space="preserve">Net working capital balance </t>
  </si>
  <si>
    <t xml:space="preserve">At its actual, over-target 1981 leverage, HCA's internally financeable (sustainable) growth rate is roughly in the high-teens. Forced back to the 60% debt/total-capital policy target, the model's equity multiplier falls and sustainable growth falls with it (see Col C) — to a level well below management's 25-30% objective. This is the central tension in the case: HCA cannot hit both its growth objective AND its leverage/payout/rating targets using internally generated equity alone. Closing the gap requires either (i) external equity issuance, (ii) a lower payout ratio (higher retention), (iii) accepting a higher debt ratio than 60% (i.e., losing the A rating), or (iv) slowing the growth rate. </t>
  </si>
  <si>
    <t>Even at zero dividends, sustainable growth at a 60% debt ratio tops out around 10%. Reaching anything near management's 25-30% growth objective at any payout ratio requires running leverage well above the 60% target</t>
  </si>
  <si>
    <t>How has HCA maintained its A rating with a ~60% debt ratio?</t>
  </si>
  <si>
    <t>roughly 46% of revenue came from cost-based reimbursement (Medicare, Medicaid, Blue Cross), which guaranteed recovery of interest and depreciation costs almost regardless of operating performance</t>
  </si>
  <si>
    <t xml:space="preserve">Second, HCA's profitability and growth track record (32%+ revenue and earnings growth, 9% pretax margins, 13 straight years without a quarterly EPS decline) gave lenders confidence debt service would be covered. Third, management treated 60% as a firm policy ceiling and </t>
  </si>
  <si>
    <t>had defended it historically, issuing equity in 1969-71, 1976, and 1979 specifically to keep leverage near that line, which built credibility with the rating agencies.</t>
  </si>
  <si>
    <t xml:space="preserve">Three things let rating agencies tolerate that leverage. First, HCA's revenue and cash flow were unusually stable and predictable: </t>
  </si>
  <si>
    <t>How has HCA maintained its debt ratio while growing rapidly in a capital-intensive industry?</t>
  </si>
  <si>
    <t xml:space="preserve"> the first public bond deal by a hospital company (1975), Eurodollar notes (1978), the industry's first commercial paper program (1980), and periodic common stock offerings.</t>
  </si>
  <si>
    <t>This kept the debt/equity mix roughly balanced as the asset base scaled. The 1981 Hospital Affiliates acquisition, financed mostly with debt, is what finally pushed leverage to 68.8%, breaking the pattern.</t>
  </si>
  <si>
    <t xml:space="preserve">By continuously tapping new layers of the capital markets as it grew, instead of relying on retained earnings alone: bank revolvers for construction-in-progress, mortgage bonds and insurance-company private placements for completed hospitals,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</si>
</sst>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;&quot;($&quot;#,##0\);\-"/>
    <numFmt numFmtId="165" formatCode="0.0%"/>
    <numFmt numFmtId="166" formatCode="0.00\x"/>
    <numFmt numFmtId="167" formatCode="\$#,##0.00"/>
    <numFmt numFmtId="168" formatCode="0.000\x"/>
  </numFmts>
  <fonts count="10" x14ac:knownFonts="1">
    <font>
      <sz val="11"/>
      <color theme="1"/>
      <name val="Calibri"/>
      <family val="2"/>
      <charset val="1"/>
    </font>
    <font>
      <sz val="11"/>
      <name val="Calibri"/>
      <family val="2"/>
    </font>
    <font>
      <i/>
      <sz val="10"/>
      <name val="Cambria"/>
      <family val="1"/>
    </font>
    <font>
      <i/>
      <sz val="9"/>
      <name val="Cambria"/>
      <family val="1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0" fontId="7" fillId="0" borderId="0" xfId="0" applyFont="1"/>
    <xf numFmtId="164" fontId="5" fillId="0" borderId="0" xfId="0" applyNumberFormat="1" applyFont="1"/>
    <xf numFmtId="3" fontId="5" fillId="0" borderId="0" xfId="0" applyNumberFormat="1" applyFont="1"/>
    <xf numFmtId="165" fontId="6" fillId="0" borderId="0" xfId="0" applyNumberFormat="1" applyFont="1"/>
    <xf numFmtId="166" fontId="5" fillId="0" borderId="0" xfId="0" applyNumberFormat="1" applyFont="1"/>
    <xf numFmtId="165" fontId="5" fillId="0" borderId="0" xfId="0" applyNumberFormat="1" applyFont="1"/>
    <xf numFmtId="0" fontId="8" fillId="0" borderId="0" xfId="0" applyFont="1"/>
    <xf numFmtId="168" fontId="5" fillId="0" borderId="0" xfId="0" applyNumberFormat="1" applyFont="1"/>
    <xf numFmtId="4" fontId="5" fillId="0" borderId="0" xfId="0" applyNumberFormat="1" applyFont="1"/>
    <xf numFmtId="167" fontId="5" fillId="0" borderId="0" xfId="0" applyNumberFormat="1" applyFont="1"/>
    <xf numFmtId="10" fontId="5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zoomScaleNormal="100" workbookViewId="0">
      <pane ySplit="3" topLeftCell="A4" activePane="bottomLeft" state="frozen"/>
      <selection pane="bottomLeft" activeCell="B5" sqref="B5:B31"/>
    </sheetView>
  </sheetViews>
  <sheetFormatPr baseColWidth="10" defaultColWidth="8.6640625" defaultRowHeight="15" x14ac:dyDescent="0.2"/>
  <cols>
    <col min="1" max="1" width="38" customWidth="1"/>
    <col min="2" max="6" width="14" customWidth="1"/>
    <col min="7" max="7" width="50" customWidth="1"/>
  </cols>
  <sheetData>
    <row r="1" spans="1:7" ht="17.25" customHeight="1" x14ac:dyDescent="0.25">
      <c r="A1" s="5" t="s">
        <v>0</v>
      </c>
      <c r="B1" s="1"/>
      <c r="C1" s="1"/>
      <c r="D1" s="1"/>
      <c r="E1" s="1"/>
      <c r="F1" s="1"/>
      <c r="G1" s="1"/>
    </row>
    <row r="2" spans="1:7" ht="15" customHeight="1" x14ac:dyDescent="0.2">
      <c r="A2" s="10"/>
      <c r="B2" s="1"/>
      <c r="C2" s="1"/>
      <c r="D2" s="1"/>
      <c r="E2" s="1"/>
      <c r="F2" s="1"/>
      <c r="G2" s="1"/>
    </row>
    <row r="3" spans="1:7" x14ac:dyDescent="0.2">
      <c r="A3" s="6"/>
      <c r="B3" s="1"/>
      <c r="C3" s="1"/>
      <c r="D3" s="1"/>
      <c r="E3" s="1"/>
      <c r="F3" s="1"/>
      <c r="G3" s="1"/>
    </row>
    <row r="4" spans="1:7" ht="15" customHeight="1" x14ac:dyDescent="0.2">
      <c r="A4" s="8" t="s">
        <v>1</v>
      </c>
      <c r="B4" s="1"/>
      <c r="C4" s="1"/>
      <c r="D4" s="1"/>
      <c r="E4" s="1"/>
      <c r="F4" s="1"/>
      <c r="G4" s="1"/>
    </row>
    <row r="5" spans="1:7" ht="15" customHeight="1" x14ac:dyDescent="0.2">
      <c r="A5" s="6" t="s">
        <v>2</v>
      </c>
      <c r="B5" s="11">
        <v>2406472</v>
      </c>
      <c r="C5" s="1"/>
      <c r="D5" s="1"/>
      <c r="E5" s="1"/>
      <c r="F5" s="1"/>
      <c r="G5" s="3"/>
    </row>
    <row r="6" spans="1:7" ht="15" customHeight="1" x14ac:dyDescent="0.2">
      <c r="A6" s="6" t="s">
        <v>3</v>
      </c>
      <c r="B6" s="11">
        <v>111131</v>
      </c>
      <c r="C6" s="1"/>
      <c r="D6" s="1"/>
      <c r="E6" s="1"/>
      <c r="F6" s="1"/>
      <c r="G6" s="3"/>
    </row>
    <row r="7" spans="1:7" ht="15" customHeight="1" x14ac:dyDescent="0.2">
      <c r="A7" s="6" t="s">
        <v>4</v>
      </c>
      <c r="B7" s="11">
        <v>2958156</v>
      </c>
      <c r="C7" s="1"/>
      <c r="D7" s="1"/>
      <c r="E7" s="1"/>
      <c r="F7" s="1"/>
      <c r="G7" s="3"/>
    </row>
    <row r="8" spans="1:7" ht="15" customHeight="1" x14ac:dyDescent="0.2">
      <c r="A8" s="6" t="s">
        <v>5</v>
      </c>
      <c r="B8" s="11">
        <v>1692323</v>
      </c>
      <c r="C8" s="1"/>
      <c r="D8" s="1"/>
      <c r="E8" s="1"/>
      <c r="F8" s="1"/>
      <c r="G8" s="3"/>
    </row>
    <row r="9" spans="1:7" ht="15" customHeight="1" x14ac:dyDescent="0.2">
      <c r="A9" s="6" t="s">
        <v>6</v>
      </c>
      <c r="B9" s="11">
        <v>767600</v>
      </c>
      <c r="C9" s="1"/>
      <c r="D9" s="1"/>
      <c r="E9" s="1"/>
      <c r="F9" s="1"/>
      <c r="G9" s="3"/>
    </row>
    <row r="10" spans="1:7" ht="15" customHeight="1" x14ac:dyDescent="0.2">
      <c r="A10" s="6" t="s">
        <v>7</v>
      </c>
      <c r="B10" s="11">
        <v>49880</v>
      </c>
      <c r="C10" s="1"/>
      <c r="D10" s="1"/>
      <c r="E10" s="1"/>
      <c r="F10" s="1"/>
      <c r="G10" s="3"/>
    </row>
    <row r="11" spans="1:7" ht="15" customHeight="1" x14ac:dyDescent="0.2">
      <c r="A11" s="6" t="s">
        <v>8</v>
      </c>
      <c r="B11" s="18">
        <v>0.34</v>
      </c>
      <c r="C11" s="1"/>
      <c r="D11" s="1"/>
      <c r="E11" s="1"/>
      <c r="F11" s="1"/>
      <c r="G11" s="3"/>
    </row>
    <row r="12" spans="1:7" ht="15" customHeight="1" x14ac:dyDescent="0.2">
      <c r="A12" s="6" t="s">
        <v>9</v>
      </c>
      <c r="B12" s="18">
        <v>2.23</v>
      </c>
      <c r="C12" s="1"/>
      <c r="D12" s="1"/>
      <c r="E12" s="1"/>
      <c r="F12" s="1"/>
      <c r="G12" s="3"/>
    </row>
    <row r="13" spans="1:7" ht="15" customHeight="1" x14ac:dyDescent="0.2">
      <c r="A13" s="6" t="s">
        <v>10</v>
      </c>
      <c r="B13" s="11">
        <v>575000</v>
      </c>
      <c r="C13" s="1"/>
      <c r="D13" s="1"/>
      <c r="E13" s="1"/>
      <c r="F13" s="1"/>
      <c r="G13" s="3"/>
    </row>
    <row r="14" spans="1:7" x14ac:dyDescent="0.2">
      <c r="A14" s="6"/>
      <c r="B14" s="6"/>
      <c r="C14" s="1"/>
      <c r="D14" s="1"/>
      <c r="E14" s="1"/>
      <c r="F14" s="1"/>
      <c r="G14" s="1"/>
    </row>
    <row r="15" spans="1:7" ht="15" customHeight="1" x14ac:dyDescent="0.2">
      <c r="A15" s="8" t="s">
        <v>11</v>
      </c>
      <c r="B15" s="6"/>
      <c r="C15" s="1"/>
      <c r="D15" s="1"/>
      <c r="E15" s="1"/>
      <c r="F15" s="1"/>
      <c r="G15" s="1"/>
    </row>
    <row r="16" spans="1:7" ht="15" customHeight="1" x14ac:dyDescent="0.2">
      <c r="A16" s="6" t="s">
        <v>12</v>
      </c>
      <c r="B16" s="15">
        <v>0.6</v>
      </c>
      <c r="C16" s="1"/>
      <c r="D16" s="1"/>
      <c r="E16" s="1"/>
      <c r="F16" s="1"/>
      <c r="G16" s="3"/>
    </row>
    <row r="17" spans="1:7" ht="15" customHeight="1" x14ac:dyDescent="0.2">
      <c r="A17" s="6" t="s">
        <v>13</v>
      </c>
      <c r="B17" s="15">
        <v>0.11</v>
      </c>
      <c r="C17" s="1"/>
      <c r="D17" s="1"/>
      <c r="E17" s="1"/>
      <c r="F17" s="1"/>
      <c r="G17" s="3"/>
    </row>
    <row r="18" spans="1:7" ht="15" customHeight="1" x14ac:dyDescent="0.2">
      <c r="A18" s="6" t="s">
        <v>14</v>
      </c>
      <c r="B18" s="15">
        <v>0.17</v>
      </c>
      <c r="C18" s="1"/>
      <c r="D18" s="1"/>
      <c r="E18" s="1"/>
      <c r="F18" s="1"/>
      <c r="G18" s="3"/>
    </row>
    <row r="19" spans="1:7" ht="15" customHeight="1" x14ac:dyDescent="0.2">
      <c r="A19" s="6" t="s">
        <v>15</v>
      </c>
      <c r="B19" s="15">
        <v>0.15</v>
      </c>
      <c r="C19" s="1"/>
      <c r="D19" s="1"/>
      <c r="E19" s="1"/>
      <c r="F19" s="1"/>
      <c r="G19" s="3"/>
    </row>
    <row r="20" spans="1:7" ht="15" customHeight="1" x14ac:dyDescent="0.2">
      <c r="A20" s="6" t="s">
        <v>16</v>
      </c>
      <c r="B20" s="15">
        <v>0.27500000000000002</v>
      </c>
      <c r="C20" s="1"/>
      <c r="D20" s="1"/>
      <c r="E20" s="1"/>
      <c r="F20" s="1"/>
      <c r="G20" s="3"/>
    </row>
    <row r="21" spans="1:7" ht="15" customHeight="1" x14ac:dyDescent="0.2">
      <c r="A21" s="6" t="s">
        <v>17</v>
      </c>
      <c r="B21" s="15">
        <v>0.13</v>
      </c>
      <c r="C21" s="1"/>
      <c r="D21" s="1"/>
      <c r="E21" s="1"/>
      <c r="F21" s="1"/>
      <c r="G21" s="3"/>
    </row>
    <row r="22" spans="1:7" ht="15" customHeight="1" x14ac:dyDescent="0.2">
      <c r="A22" s="6" t="s">
        <v>18</v>
      </c>
      <c r="B22" s="15">
        <v>0.15</v>
      </c>
      <c r="C22" s="1"/>
      <c r="D22" s="1"/>
      <c r="E22" s="1"/>
      <c r="F22" s="1"/>
      <c r="G22" s="3"/>
    </row>
    <row r="23" spans="1:7" ht="15" customHeight="1" x14ac:dyDescent="0.2">
      <c r="A23" s="6" t="s">
        <v>19</v>
      </c>
      <c r="B23" s="14">
        <v>3</v>
      </c>
      <c r="C23" s="1"/>
      <c r="D23" s="1"/>
      <c r="E23" s="1"/>
      <c r="F23" s="1"/>
      <c r="G23" s="3"/>
    </row>
    <row r="24" spans="1:7" ht="15" customHeight="1" x14ac:dyDescent="0.2">
      <c r="A24" s="6" t="s">
        <v>20</v>
      </c>
      <c r="B24" s="15">
        <v>0.2</v>
      </c>
      <c r="C24" s="1"/>
      <c r="D24" s="1"/>
      <c r="E24" s="1"/>
      <c r="F24" s="1"/>
      <c r="G24" s="3"/>
    </row>
    <row r="25" spans="1:7" x14ac:dyDescent="0.2">
      <c r="A25" s="6"/>
      <c r="B25" s="6"/>
      <c r="C25" s="1"/>
      <c r="D25" s="1"/>
      <c r="E25" s="1"/>
      <c r="F25" s="1"/>
      <c r="G25" s="1"/>
    </row>
    <row r="26" spans="1:7" ht="15" customHeight="1" x14ac:dyDescent="0.2">
      <c r="A26" s="8" t="s">
        <v>21</v>
      </c>
      <c r="B26" s="6"/>
      <c r="C26" s="1"/>
      <c r="D26" s="1"/>
      <c r="E26" s="1"/>
      <c r="F26" s="1"/>
      <c r="G26" s="1"/>
    </row>
    <row r="27" spans="1:7" ht="15" customHeight="1" x14ac:dyDescent="0.2">
      <c r="A27" s="6" t="s">
        <v>22</v>
      </c>
      <c r="B27" s="15">
        <v>0.55000000000000004</v>
      </c>
      <c r="C27" s="1"/>
      <c r="D27" s="1"/>
      <c r="E27" s="1"/>
      <c r="F27" s="1"/>
      <c r="G27" s="3"/>
    </row>
    <row r="28" spans="1:7" ht="15" customHeight="1" x14ac:dyDescent="0.2">
      <c r="A28" s="6" t="s">
        <v>23</v>
      </c>
      <c r="B28" s="19">
        <v>45</v>
      </c>
      <c r="C28" s="1"/>
      <c r="D28" s="1"/>
      <c r="E28" s="1"/>
      <c r="F28" s="1"/>
      <c r="G28" s="3"/>
    </row>
    <row r="29" spans="1:7" ht="15" customHeight="1" x14ac:dyDescent="0.2">
      <c r="A29" s="6" t="s">
        <v>24</v>
      </c>
      <c r="B29" s="15">
        <v>0.14499999999999999</v>
      </c>
      <c r="C29" s="1"/>
      <c r="D29" s="1"/>
      <c r="E29" s="1"/>
      <c r="F29" s="1"/>
      <c r="G29" s="1"/>
    </row>
    <row r="30" spans="1:7" ht="15" customHeight="1" x14ac:dyDescent="0.2">
      <c r="A30" s="6" t="s">
        <v>25</v>
      </c>
      <c r="B30" s="20">
        <v>4.6199999999999998E-2</v>
      </c>
      <c r="C30" s="1"/>
      <c r="D30" s="1"/>
      <c r="E30" s="1"/>
      <c r="F30" s="1"/>
      <c r="G30" s="3"/>
    </row>
    <row r="31" spans="1:7" ht="15" customHeight="1" x14ac:dyDescent="0.2">
      <c r="A31" s="6" t="s">
        <v>26</v>
      </c>
      <c r="B31" s="17">
        <v>0.8135</v>
      </c>
      <c r="C31" s="1"/>
      <c r="D31" s="1"/>
      <c r="E31" s="1"/>
      <c r="F31" s="1"/>
      <c r="G31" s="3"/>
    </row>
    <row r="33" spans="1:1" x14ac:dyDescent="0.2">
      <c r="A33" s="6" t="s">
        <v>87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zoomScaleNormal="100" workbookViewId="0">
      <selection activeCell="F32" sqref="F32"/>
    </sheetView>
  </sheetViews>
  <sheetFormatPr baseColWidth="10" defaultColWidth="8.6640625" defaultRowHeight="15" x14ac:dyDescent="0.2"/>
  <cols>
    <col min="1" max="1" width="42" customWidth="1"/>
    <col min="2" max="5" width="16" customWidth="1"/>
    <col min="6" max="6" width="55" customWidth="1"/>
  </cols>
  <sheetData>
    <row r="1" spans="1:6" ht="17.25" customHeight="1" x14ac:dyDescent="0.25">
      <c r="A1" s="5" t="s">
        <v>27</v>
      </c>
      <c r="B1" s="1"/>
      <c r="C1" s="1"/>
      <c r="D1" s="1"/>
      <c r="E1" s="1"/>
      <c r="F1" s="1"/>
    </row>
    <row r="2" spans="1:6" ht="15" customHeight="1" x14ac:dyDescent="0.2">
      <c r="A2" s="10"/>
      <c r="B2" s="1"/>
      <c r="C2" s="1"/>
      <c r="D2" s="1"/>
      <c r="E2" s="1"/>
      <c r="F2" s="1"/>
    </row>
    <row r="3" spans="1:6" x14ac:dyDescent="0.2">
      <c r="A3" s="6"/>
      <c r="B3" s="1"/>
      <c r="C3" s="1"/>
      <c r="D3" s="1"/>
      <c r="E3" s="1"/>
      <c r="F3" s="1"/>
    </row>
    <row r="4" spans="1:6" ht="15" customHeight="1" x14ac:dyDescent="0.2">
      <c r="A4" s="6" t="s">
        <v>28</v>
      </c>
      <c r="B4" s="6" t="s">
        <v>29</v>
      </c>
      <c r="C4" s="6" t="s">
        <v>30</v>
      </c>
      <c r="D4" s="1"/>
      <c r="E4" s="1"/>
      <c r="F4" s="1"/>
    </row>
    <row r="5" spans="1:6" ht="15" customHeight="1" x14ac:dyDescent="0.2">
      <c r="A5" s="6" t="s">
        <v>90</v>
      </c>
      <c r="B5" s="15">
        <f>'1. Inputs &amp; Assumptions'!$B$6/'1. Inputs &amp; Assumptions'!$B$5</f>
        <v>4.6180051128789368E-2</v>
      </c>
      <c r="C5" s="15">
        <f>B5</f>
        <v>4.6180051128789368E-2</v>
      </c>
      <c r="D5" s="1"/>
      <c r="E5" s="1"/>
      <c r="F5" s="1"/>
    </row>
    <row r="6" spans="1:6" ht="15" customHeight="1" x14ac:dyDescent="0.2">
      <c r="A6" s="6" t="s">
        <v>91</v>
      </c>
      <c r="B6" s="17">
        <f>'1. Inputs &amp; Assumptions'!$B$5/'1. Inputs &amp; Assumptions'!$B$7</f>
        <v>0.81350408835774723</v>
      </c>
      <c r="C6" s="17">
        <f>B6</f>
        <v>0.81350408835774723</v>
      </c>
      <c r="D6" s="1"/>
      <c r="E6" s="1"/>
      <c r="F6" s="1"/>
    </row>
    <row r="7" spans="1:6" ht="15" customHeight="1" x14ac:dyDescent="0.2">
      <c r="A7" s="6" t="s">
        <v>92</v>
      </c>
      <c r="B7" s="14">
        <f>'1. Inputs &amp; Assumptions'!$B$7/'1. Inputs &amp; Assumptions'!$B$9</f>
        <v>3.8537727983324648</v>
      </c>
      <c r="C7" s="14">
        <f>1/(1-'1. Inputs &amp; Assumptions'!$B$16)</f>
        <v>2.5</v>
      </c>
      <c r="D7" s="1"/>
      <c r="E7" s="1"/>
      <c r="F7" s="1"/>
    </row>
    <row r="8" spans="1:6" ht="15" customHeight="1" x14ac:dyDescent="0.2">
      <c r="A8" s="6" t="s">
        <v>93</v>
      </c>
      <c r="B8" s="15">
        <f>1-'1. Inputs &amp; Assumptions'!$B$19</f>
        <v>0.85</v>
      </c>
      <c r="C8" s="15">
        <f>B8</f>
        <v>0.85</v>
      </c>
      <c r="D8" s="1"/>
      <c r="E8" s="1"/>
      <c r="F8" s="1"/>
    </row>
    <row r="9" spans="1:6" ht="15" customHeight="1" x14ac:dyDescent="0.2">
      <c r="A9" s="6" t="s">
        <v>89</v>
      </c>
      <c r="B9" s="15">
        <f>B5*B6*B7</f>
        <v>0.14477722772277229</v>
      </c>
      <c r="C9" s="15">
        <f>C5*C6*C7</f>
        <v>9.3919150984599881E-2</v>
      </c>
      <c r="D9" s="1"/>
      <c r="E9" s="1"/>
      <c r="F9" s="1"/>
    </row>
    <row r="10" spans="1:6" x14ac:dyDescent="0.2">
      <c r="A10" s="6"/>
      <c r="B10" s="6"/>
      <c r="C10" s="6"/>
      <c r="D10" s="1"/>
      <c r="E10" s="1"/>
      <c r="F10" s="1"/>
    </row>
    <row r="11" spans="1:6" ht="15" customHeight="1" x14ac:dyDescent="0.2">
      <c r="A11" s="6" t="s">
        <v>88</v>
      </c>
      <c r="B11" s="15">
        <f>B9*B8/(1-B9*B8)</f>
        <v>0.14032970770583447</v>
      </c>
      <c r="C11" s="15">
        <f>C9*C8/(1-C9*C8)</f>
        <v>8.6757217950882773E-2</v>
      </c>
      <c r="D11" s="1"/>
      <c r="E11" s="1"/>
      <c r="F11" s="1"/>
    </row>
    <row r="12" spans="1:6" x14ac:dyDescent="0.2">
      <c r="A12" s="6"/>
      <c r="B12" s="6"/>
      <c r="C12" s="6"/>
      <c r="D12" s="1"/>
      <c r="E12" s="1"/>
      <c r="F12" s="1"/>
    </row>
    <row r="13" spans="1:6" ht="15" customHeight="1" x14ac:dyDescent="0.2">
      <c r="A13" s="6" t="s">
        <v>31</v>
      </c>
      <c r="B13" s="15">
        <f>'1. Inputs &amp; Assumptions'!$B$20</f>
        <v>0.27500000000000002</v>
      </c>
      <c r="C13" s="6"/>
      <c r="D13" s="1"/>
      <c r="E13" s="1"/>
      <c r="F13" s="1"/>
    </row>
    <row r="14" spans="1:6" ht="15" customHeight="1" x14ac:dyDescent="0.2">
      <c r="A14" s="6" t="s">
        <v>32</v>
      </c>
      <c r="B14" s="15">
        <f>B13-C11</f>
        <v>0.18824278204911726</v>
      </c>
      <c r="C14" s="6"/>
      <c r="D14" s="1"/>
      <c r="E14" s="1"/>
      <c r="F14" s="1"/>
    </row>
    <row r="15" spans="1:6" x14ac:dyDescent="0.2">
      <c r="A15" s="6"/>
      <c r="B15" s="6"/>
      <c r="C15" s="6"/>
      <c r="D15" s="1"/>
      <c r="E15" s="1"/>
      <c r="F15" s="1"/>
    </row>
    <row r="16" spans="1:6" ht="15" customHeight="1" x14ac:dyDescent="0.2">
      <c r="A16" s="6" t="s">
        <v>33</v>
      </c>
      <c r="B16" s="6"/>
      <c r="C16" s="6"/>
      <c r="D16" s="1"/>
      <c r="E16" s="1"/>
      <c r="F16" s="1"/>
    </row>
    <row r="17" spans="1:6" ht="15" customHeight="1" x14ac:dyDescent="0.2">
      <c r="A17" s="6"/>
      <c r="B17" s="15">
        <f>'1. Inputs &amp; Assumptions'!$B$18*(1-'1. Inputs &amp; Assumptions'!$B$19)</f>
        <v>0.14450000000000002</v>
      </c>
      <c r="C17" s="6"/>
      <c r="D17" s="1"/>
      <c r="E17" s="1"/>
      <c r="F17" s="1"/>
    </row>
    <row r="18" spans="1:6" x14ac:dyDescent="0.2">
      <c r="A18" s="6"/>
      <c r="B18" s="1"/>
      <c r="C18" s="1"/>
      <c r="D18" s="1"/>
      <c r="E18" s="1"/>
      <c r="F18" s="1"/>
    </row>
    <row r="19" spans="1:6" ht="15" customHeight="1" x14ac:dyDescent="0.2">
      <c r="A19" s="6" t="s">
        <v>34</v>
      </c>
      <c r="B19" s="1"/>
      <c r="C19" s="1"/>
      <c r="D19" s="1"/>
      <c r="E19" s="1"/>
      <c r="F19" s="1"/>
    </row>
    <row r="20" spans="1:6" ht="18" customHeight="1" x14ac:dyDescent="0.2">
      <c r="A20" s="4" t="s">
        <v>98</v>
      </c>
      <c r="B20" s="4"/>
      <c r="C20" s="4"/>
      <c r="D20" s="4"/>
      <c r="E20" s="4"/>
      <c r="F20" s="4"/>
    </row>
    <row r="21" spans="1:6" ht="15" customHeight="1" x14ac:dyDescent="0.2">
      <c r="A21" s="4"/>
      <c r="B21" s="4"/>
      <c r="C21" s="4"/>
      <c r="D21" s="4"/>
      <c r="E21" s="4"/>
      <c r="F21" s="4"/>
    </row>
    <row r="22" spans="1:6" ht="15" customHeight="1" x14ac:dyDescent="0.2">
      <c r="A22" s="4"/>
      <c r="B22" s="4"/>
      <c r="C22" s="4"/>
      <c r="D22" s="4"/>
      <c r="E22" s="4"/>
      <c r="F22" s="4"/>
    </row>
    <row r="23" spans="1:6" ht="15" customHeight="1" x14ac:dyDescent="0.2">
      <c r="A23" s="4"/>
      <c r="B23" s="4"/>
      <c r="C23" s="4"/>
      <c r="D23" s="4"/>
      <c r="E23" s="4"/>
      <c r="F23" s="4"/>
    </row>
    <row r="24" spans="1:6" ht="15" customHeight="1" x14ac:dyDescent="0.2">
      <c r="A24" s="4"/>
      <c r="B24" s="4"/>
      <c r="C24" s="4"/>
      <c r="D24" s="4"/>
      <c r="E24" s="4"/>
      <c r="F24" s="4"/>
    </row>
    <row r="25" spans="1:6" ht="15" customHeight="1" x14ac:dyDescent="0.2">
      <c r="A25" s="4"/>
      <c r="B25" s="4"/>
      <c r="C25" s="4"/>
      <c r="D25" s="4"/>
      <c r="E25" s="4"/>
      <c r="F25" s="4"/>
    </row>
    <row r="26" spans="1:6" ht="15" customHeight="1" x14ac:dyDescent="0.2">
      <c r="A26" s="4"/>
      <c r="B26" s="4"/>
      <c r="C26" s="4"/>
      <c r="D26" s="4"/>
      <c r="E26" s="4"/>
      <c r="F26" s="4"/>
    </row>
    <row r="30" spans="1:6" x14ac:dyDescent="0.2">
      <c r="A30" t="str">
        <f>'1. Inputs &amp; Assumptions'!A33</f>
        <v>Team F</v>
      </c>
    </row>
  </sheetData>
  <mergeCells count="1">
    <mergeCell ref="A20:F2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2"/>
  <sheetViews>
    <sheetView zoomScaleNormal="100" workbookViewId="0">
      <selection activeCell="C57" sqref="C57"/>
    </sheetView>
  </sheetViews>
  <sheetFormatPr baseColWidth="10" defaultColWidth="8.6640625" defaultRowHeight="15" x14ac:dyDescent="0.2"/>
  <cols>
    <col min="1" max="1" width="44" customWidth="1"/>
    <col min="2" max="6" width="14" customWidth="1"/>
    <col min="7" max="7" width="50" customWidth="1"/>
  </cols>
  <sheetData>
    <row r="1" spans="1:7" ht="17.25" customHeight="1" x14ac:dyDescent="0.25">
      <c r="A1" s="21" t="s">
        <v>35</v>
      </c>
      <c r="B1" s="6"/>
      <c r="C1" s="6"/>
      <c r="D1" s="6"/>
      <c r="E1" s="6"/>
      <c r="F1" s="6"/>
      <c r="G1" s="1"/>
    </row>
    <row r="2" spans="1:7" ht="15" customHeight="1" x14ac:dyDescent="0.2">
      <c r="A2" s="10"/>
      <c r="B2" s="6"/>
      <c r="C2" s="6"/>
      <c r="D2" s="6"/>
      <c r="E2" s="6"/>
      <c r="F2" s="6"/>
      <c r="G2" s="1"/>
    </row>
    <row r="3" spans="1:7" x14ac:dyDescent="0.2">
      <c r="A3" s="6"/>
      <c r="B3" s="6"/>
      <c r="C3" s="6"/>
      <c r="D3" s="6"/>
      <c r="E3" s="6"/>
      <c r="F3" s="6"/>
      <c r="G3" s="1"/>
    </row>
    <row r="4" spans="1:7" ht="15" customHeight="1" x14ac:dyDescent="0.2">
      <c r="A4" s="6"/>
      <c r="B4" s="22" t="s">
        <v>36</v>
      </c>
      <c r="C4" s="22" t="s">
        <v>37</v>
      </c>
      <c r="D4" s="22" t="s">
        <v>38</v>
      </c>
      <c r="E4" s="22" t="s">
        <v>39</v>
      </c>
      <c r="F4" s="22" t="s">
        <v>40</v>
      </c>
      <c r="G4" s="1"/>
    </row>
    <row r="5" spans="1:7" x14ac:dyDescent="0.2">
      <c r="A5" s="6"/>
      <c r="B5" s="6"/>
      <c r="C5" s="6"/>
      <c r="D5" s="6"/>
      <c r="E5" s="6"/>
      <c r="F5" s="6"/>
      <c r="G5" s="1"/>
    </row>
    <row r="6" spans="1:7" ht="15" customHeight="1" x14ac:dyDescent="0.2">
      <c r="A6" s="6" t="s">
        <v>41</v>
      </c>
      <c r="B6" s="6"/>
      <c r="C6" s="6"/>
      <c r="D6" s="6"/>
      <c r="E6" s="6"/>
      <c r="F6" s="6"/>
      <c r="G6" s="1"/>
    </row>
    <row r="7" spans="1:7" ht="15" customHeight="1" x14ac:dyDescent="0.2">
      <c r="A7" s="6" t="s">
        <v>42</v>
      </c>
      <c r="B7" s="6"/>
      <c r="C7" s="15">
        <f>'1. Inputs &amp; Assumptions'!$B$20</f>
        <v>0.27500000000000002</v>
      </c>
      <c r="D7" s="15">
        <f>'1. Inputs &amp; Assumptions'!$B$20</f>
        <v>0.27500000000000002</v>
      </c>
      <c r="E7" s="15">
        <f>'1. Inputs &amp; Assumptions'!$B$20</f>
        <v>0.27500000000000002</v>
      </c>
      <c r="F7" s="15">
        <f>'1. Inputs &amp; Assumptions'!$B$20</f>
        <v>0.27500000000000002</v>
      </c>
      <c r="G7" s="1"/>
    </row>
    <row r="8" spans="1:7" ht="15" customHeight="1" x14ac:dyDescent="0.2">
      <c r="A8" s="6" t="s">
        <v>43</v>
      </c>
      <c r="B8" s="6"/>
      <c r="C8" s="15">
        <f>'1. Inputs &amp; Assumptions'!$B$24</f>
        <v>0.2</v>
      </c>
      <c r="D8" s="15">
        <f>'1. Inputs &amp; Assumptions'!$B$24</f>
        <v>0.2</v>
      </c>
      <c r="E8" s="15">
        <f>'1. Inputs &amp; Assumptions'!$B$24</f>
        <v>0.2</v>
      </c>
      <c r="F8" s="15">
        <f>'1. Inputs &amp; Assumptions'!$B$24</f>
        <v>0.2</v>
      </c>
      <c r="G8" s="1"/>
    </row>
    <row r="9" spans="1:7" ht="15" customHeight="1" x14ac:dyDescent="0.2">
      <c r="A9" s="6" t="s">
        <v>44</v>
      </c>
      <c r="B9" s="15">
        <v>6.7478865326502893E-2</v>
      </c>
      <c r="C9" s="15">
        <f>$B$9</f>
        <v>6.7478865326502893E-2</v>
      </c>
      <c r="D9" s="15">
        <f>$B$9</f>
        <v>6.7478865326502893E-2</v>
      </c>
      <c r="E9" s="15">
        <f>$B$9</f>
        <v>6.7478865326502893E-2</v>
      </c>
      <c r="F9" s="15">
        <f>$B$9</f>
        <v>6.7478865326502893E-2</v>
      </c>
      <c r="G9" s="1"/>
    </row>
    <row r="10" spans="1:7" ht="15" customHeight="1" x14ac:dyDescent="0.2">
      <c r="A10" s="6" t="s">
        <v>45</v>
      </c>
      <c r="B10" s="6"/>
      <c r="C10" s="15">
        <f>'1. Inputs &amp; Assumptions'!$B$27</f>
        <v>0.55000000000000004</v>
      </c>
      <c r="D10" s="15">
        <f>'1. Inputs &amp; Assumptions'!$B$27</f>
        <v>0.55000000000000004</v>
      </c>
      <c r="E10" s="15">
        <f>'1. Inputs &amp; Assumptions'!$B$27</f>
        <v>0.55000000000000004</v>
      </c>
      <c r="F10" s="15">
        <f>'1. Inputs &amp; Assumptions'!$B$27</f>
        <v>0.55000000000000004</v>
      </c>
      <c r="G10" s="1"/>
    </row>
    <row r="11" spans="1:7" ht="15" customHeight="1" x14ac:dyDescent="0.2">
      <c r="A11" s="6" t="s">
        <v>46</v>
      </c>
      <c r="B11" s="15">
        <v>0.39700000000000002</v>
      </c>
      <c r="C11" s="15">
        <f>$B$11</f>
        <v>0.39700000000000002</v>
      </c>
      <c r="D11" s="15">
        <f>$B$11</f>
        <v>0.39700000000000002</v>
      </c>
      <c r="E11" s="15">
        <f>$B$11</f>
        <v>0.39700000000000002</v>
      </c>
      <c r="F11" s="15">
        <f>$B$11</f>
        <v>0.39700000000000002</v>
      </c>
      <c r="G11" s="1"/>
    </row>
    <row r="12" spans="1:7" ht="15" customHeight="1" x14ac:dyDescent="0.2">
      <c r="A12" s="6" t="s">
        <v>47</v>
      </c>
      <c r="B12" s="15">
        <v>0.115</v>
      </c>
      <c r="C12" s="15">
        <v>0.12</v>
      </c>
      <c r="D12" s="15">
        <v>0.125</v>
      </c>
      <c r="E12" s="15">
        <v>0.13</v>
      </c>
      <c r="F12" s="15">
        <f>'1. Inputs &amp; Assumptions'!$B$29</f>
        <v>0.14499999999999999</v>
      </c>
      <c r="G12" s="3"/>
    </row>
    <row r="13" spans="1:7" ht="15" customHeight="1" x14ac:dyDescent="0.2">
      <c r="A13" s="6" t="s">
        <v>48</v>
      </c>
      <c r="B13" s="15">
        <v>5.4171833289562502E-2</v>
      </c>
      <c r="C13" s="15">
        <f>$B$13</f>
        <v>5.4171833289562502E-2</v>
      </c>
      <c r="D13" s="15">
        <f>$B$13</f>
        <v>5.4171833289562502E-2</v>
      </c>
      <c r="E13" s="15">
        <f>$B$13</f>
        <v>5.4171833289562502E-2</v>
      </c>
      <c r="F13" s="15">
        <f>$B$13</f>
        <v>5.4171833289562502E-2</v>
      </c>
      <c r="G13" s="1"/>
    </row>
    <row r="14" spans="1:7" ht="15" customHeight="1" x14ac:dyDescent="0.2">
      <c r="A14" s="6" t="s">
        <v>49</v>
      </c>
      <c r="B14" s="15">
        <v>3.6649917389439797E-2</v>
      </c>
      <c r="C14" s="15">
        <f>$B$14</f>
        <v>3.6649917389439797E-2</v>
      </c>
      <c r="D14" s="15">
        <f>$B$14</f>
        <v>3.6649917389439797E-2</v>
      </c>
      <c r="E14" s="15">
        <f>$B$14</f>
        <v>3.6649917389439797E-2</v>
      </c>
      <c r="F14" s="15">
        <f>$B$14</f>
        <v>3.6649917389439797E-2</v>
      </c>
      <c r="G14" s="1"/>
    </row>
    <row r="15" spans="1:7" ht="15" customHeight="1" x14ac:dyDescent="0.2">
      <c r="A15" s="6" t="s">
        <v>50</v>
      </c>
      <c r="B15" s="15">
        <v>9.0776040610487108E-3</v>
      </c>
      <c r="C15" s="15">
        <f>$B$15</f>
        <v>9.0776040610487108E-3</v>
      </c>
      <c r="D15" s="15">
        <f>$B$15</f>
        <v>9.0776040610487108E-3</v>
      </c>
      <c r="E15" s="15">
        <f>$B$15</f>
        <v>9.0776040610487108E-3</v>
      </c>
      <c r="F15" s="15">
        <f>$B$15</f>
        <v>9.0776040610487108E-3</v>
      </c>
      <c r="G15" s="1"/>
    </row>
    <row r="16" spans="1:7" ht="15" customHeight="1" x14ac:dyDescent="0.2">
      <c r="A16" s="6" t="s">
        <v>51</v>
      </c>
      <c r="B16" s="6"/>
      <c r="C16" s="19">
        <f>'1. Inputs &amp; Assumptions'!$B$28</f>
        <v>45</v>
      </c>
      <c r="D16" s="19">
        <f>'1. Inputs &amp; Assumptions'!$B$28</f>
        <v>45</v>
      </c>
      <c r="E16" s="19">
        <f>'1. Inputs &amp; Assumptions'!$B$28</f>
        <v>45</v>
      </c>
      <c r="F16" s="19">
        <f>'1. Inputs &amp; Assumptions'!$B$28</f>
        <v>45</v>
      </c>
      <c r="G16" s="1"/>
    </row>
    <row r="17" spans="1:7" ht="15" customHeight="1" x14ac:dyDescent="0.2">
      <c r="A17" s="6" t="s">
        <v>52</v>
      </c>
      <c r="B17" s="15">
        <v>0.152</v>
      </c>
      <c r="C17" s="15">
        <f>'1. Inputs &amp; Assumptions'!$B$19</f>
        <v>0.15</v>
      </c>
      <c r="D17" s="15">
        <f>'1. Inputs &amp; Assumptions'!$B$19</f>
        <v>0.15</v>
      </c>
      <c r="E17" s="15">
        <f>'1. Inputs &amp; Assumptions'!$B$19</f>
        <v>0.15</v>
      </c>
      <c r="F17" s="15">
        <f>'1. Inputs &amp; Assumptions'!$B$19</f>
        <v>0.15</v>
      </c>
      <c r="G17" s="1"/>
    </row>
    <row r="18" spans="1:7" ht="15" customHeight="1" x14ac:dyDescent="0.2">
      <c r="A18" s="6" t="s">
        <v>53</v>
      </c>
      <c r="B18" s="6">
        <v>0</v>
      </c>
      <c r="C18" s="11">
        <v>33678</v>
      </c>
      <c r="D18" s="11">
        <v>70232</v>
      </c>
      <c r="E18" s="11">
        <v>71388</v>
      </c>
      <c r="F18" s="11">
        <v>116801</v>
      </c>
      <c r="G18" s="3"/>
    </row>
    <row r="19" spans="1:7" x14ac:dyDescent="0.2">
      <c r="A19" s="6"/>
      <c r="B19" s="6"/>
      <c r="C19" s="6"/>
      <c r="D19" s="6"/>
      <c r="E19" s="6"/>
      <c r="F19" s="6"/>
      <c r="G19" s="1"/>
    </row>
    <row r="20" spans="1:7" ht="15" customHeight="1" x14ac:dyDescent="0.2">
      <c r="A20" s="6" t="s">
        <v>54</v>
      </c>
      <c r="B20" s="6"/>
      <c r="C20" s="6"/>
      <c r="D20" s="6"/>
      <c r="E20" s="6"/>
      <c r="F20" s="6"/>
      <c r="G20" s="1"/>
    </row>
    <row r="21" spans="1:7" ht="15" customHeight="1" x14ac:dyDescent="0.2">
      <c r="A21" s="6" t="s">
        <v>55</v>
      </c>
      <c r="B21" s="11">
        <f>'1. Inputs &amp; Assumptions'!$B$5</f>
        <v>2406472</v>
      </c>
      <c r="C21" s="11">
        <f>B21*(1+C7)</f>
        <v>3068251.8</v>
      </c>
      <c r="D21" s="11">
        <f>C21*(1+D7)</f>
        <v>3912021.0449999995</v>
      </c>
      <c r="E21" s="11">
        <f>D21*(1+E7)</f>
        <v>4987826.8323749993</v>
      </c>
      <c r="F21" s="11">
        <f>E21*(1+F7)</f>
        <v>6359479.2112781238</v>
      </c>
      <c r="G21" s="1"/>
    </row>
    <row r="22" spans="1:7" ht="15" customHeight="1" x14ac:dyDescent="0.2">
      <c r="A22" s="6" t="s">
        <v>56</v>
      </c>
      <c r="B22" s="11">
        <v>162386</v>
      </c>
      <c r="C22" s="11">
        <f>C21*0.0674788653265029</f>
        <v>207042.15000000008</v>
      </c>
      <c r="D22" s="11">
        <f>D21*0.0674788653265029</f>
        <v>263978.74125000008</v>
      </c>
      <c r="E22" s="11">
        <f>E21*0.0674788653265029</f>
        <v>336572.89509375009</v>
      </c>
      <c r="F22" s="11">
        <f>F21*0.0674788653265029</f>
        <v>429130.44124453136</v>
      </c>
      <c r="G22" s="3"/>
    </row>
    <row r="23" spans="1:7" ht="15" customHeight="1" x14ac:dyDescent="0.2">
      <c r="A23" s="6" t="s">
        <v>57</v>
      </c>
      <c r="B23" s="11">
        <v>21845</v>
      </c>
      <c r="C23" s="11">
        <f>C21*C15</f>
        <v>27852.375000000015</v>
      </c>
      <c r="D23" s="11">
        <f>D21*D15</f>
        <v>35511.778125000019</v>
      </c>
      <c r="E23" s="11">
        <f>E21*E15</f>
        <v>45277.517109375018</v>
      </c>
      <c r="F23" s="11">
        <f>F21*F15</f>
        <v>57728.834314453146</v>
      </c>
      <c r="G23" s="1"/>
    </row>
    <row r="24" spans="1:7" ht="15" customHeight="1" x14ac:dyDescent="0.2">
      <c r="A24" s="6" t="s">
        <v>58</v>
      </c>
      <c r="B24" s="11">
        <v>131458</v>
      </c>
      <c r="C24" s="11">
        <f>B48*C12</f>
        <v>203078.75999999998</v>
      </c>
      <c r="D24" s="11">
        <f>C48*D12</f>
        <v>242789.77672588595</v>
      </c>
      <c r="E24" s="11">
        <f>D48*E12</f>
        <v>288666.69468194293</v>
      </c>
      <c r="F24" s="11">
        <f>E48*F12</f>
        <v>369609.48409743089</v>
      </c>
      <c r="G24" s="3"/>
    </row>
    <row r="25" spans="1:7" ht="15" customHeight="1" x14ac:dyDescent="0.2">
      <c r="A25" s="6" t="s">
        <v>59</v>
      </c>
      <c r="B25" s="11">
        <f>B22+B23-B24</f>
        <v>52773</v>
      </c>
      <c r="C25" s="11">
        <f>C22+C23-C24</f>
        <v>31815.765000000101</v>
      </c>
      <c r="D25" s="11">
        <f>D22+D23-D24</f>
        <v>56700.742649114138</v>
      </c>
      <c r="E25" s="11">
        <f>E22+E23-E24</f>
        <v>93183.717521182203</v>
      </c>
      <c r="F25" s="11">
        <f>F22+F23-F24</f>
        <v>117249.7914615536</v>
      </c>
      <c r="G25" s="1"/>
    </row>
    <row r="26" spans="1:7" ht="15" customHeight="1" x14ac:dyDescent="0.2">
      <c r="A26" s="6" t="s">
        <v>60</v>
      </c>
      <c r="B26" s="11">
        <f>B25*B11</f>
        <v>20950.881000000001</v>
      </c>
      <c r="C26" s="11">
        <f>C25*C11</f>
        <v>12630.858705000041</v>
      </c>
      <c r="D26" s="11">
        <f>D25*D11</f>
        <v>22510.194831698314</v>
      </c>
      <c r="E26" s="11">
        <f>E25*E11</f>
        <v>36993.935855909338</v>
      </c>
      <c r="F26" s="11">
        <f>F25*F11</f>
        <v>46548.167210236781</v>
      </c>
      <c r="G26" s="1"/>
    </row>
    <row r="27" spans="1:7" ht="15" customHeight="1" x14ac:dyDescent="0.2">
      <c r="A27" s="6" t="s">
        <v>61</v>
      </c>
      <c r="B27" s="11">
        <f>B25-B26</f>
        <v>31822.118999999999</v>
      </c>
      <c r="C27" s="11">
        <f>C25-C26</f>
        <v>19184.906295000059</v>
      </c>
      <c r="D27" s="11">
        <f>D25-D26</f>
        <v>34190.54781741582</v>
      </c>
      <c r="E27" s="11">
        <f>E25-E26</f>
        <v>56189.781665272865</v>
      </c>
      <c r="F27" s="11">
        <f>F25-F26</f>
        <v>70701.624251316825</v>
      </c>
      <c r="G27" s="1"/>
    </row>
    <row r="28" spans="1:7" ht="15" customHeight="1" x14ac:dyDescent="0.2">
      <c r="A28" s="6" t="s">
        <v>62</v>
      </c>
      <c r="B28" s="12">
        <f>'1. Inputs &amp; Assumptions'!$B$10</f>
        <v>49880</v>
      </c>
      <c r="C28" s="12">
        <f>(B52+C52)/2</f>
        <v>52458.847398246246</v>
      </c>
      <c r="D28" s="12">
        <f>(C52+D52)/2</f>
        <v>58205.211362018483</v>
      </c>
      <c r="E28" s="12">
        <f>(D52+E52)/2</f>
        <v>65008.236007498301</v>
      </c>
      <c r="F28" s="12">
        <f>(E52+F52)/2</f>
        <v>73101.419865723889</v>
      </c>
      <c r="G28" s="1"/>
    </row>
    <row r="29" spans="1:7" ht="15" customHeight="1" x14ac:dyDescent="0.2">
      <c r="A29" s="6" t="s">
        <v>63</v>
      </c>
      <c r="B29" s="19">
        <f>B27/B28</f>
        <v>0.63797351643945466</v>
      </c>
      <c r="C29" s="19">
        <f>C27/C28</f>
        <v>0.36571345438370095</v>
      </c>
      <c r="D29" s="19">
        <f>D27/D28</f>
        <v>0.58741385895433218</v>
      </c>
      <c r="E29" s="19">
        <f>E27/E28</f>
        <v>0.86434865974200126</v>
      </c>
      <c r="F29" s="19">
        <f>F27/F28</f>
        <v>0.9671716962705359</v>
      </c>
      <c r="G29" s="1"/>
    </row>
    <row r="30" spans="1:7" ht="15" customHeight="1" x14ac:dyDescent="0.2">
      <c r="A30" s="6" t="s">
        <v>64</v>
      </c>
      <c r="B30" s="6"/>
      <c r="C30" s="15">
        <f>C29/B29-1</f>
        <v>-0.42675762400803652</v>
      </c>
      <c r="D30" s="15">
        <f>D29/C29-1</f>
        <v>0.60621342177372162</v>
      </c>
      <c r="E30" s="15">
        <f>E29/D29-1</f>
        <v>0.47144750939422253</v>
      </c>
      <c r="F30" s="15">
        <f>F29/E29-1</f>
        <v>0.11896013879309564</v>
      </c>
      <c r="G30" s="1"/>
    </row>
    <row r="31" spans="1:7" ht="15" customHeight="1" x14ac:dyDescent="0.2">
      <c r="A31" s="6" t="s">
        <v>65</v>
      </c>
      <c r="B31" s="11">
        <f>B27*B17</f>
        <v>4836.9620879999993</v>
      </c>
      <c r="C31" s="11">
        <f>C27*C17</f>
        <v>2877.7359442500087</v>
      </c>
      <c r="D31" s="11">
        <f>D27*D17</f>
        <v>5128.5821726123731</v>
      </c>
      <c r="E31" s="11">
        <f>E27*E17</f>
        <v>8428.4672497909287</v>
      </c>
      <c r="F31" s="11">
        <f>F27*F17</f>
        <v>10605.243637697524</v>
      </c>
      <c r="G31" s="1"/>
    </row>
    <row r="32" spans="1:7" ht="15" customHeight="1" x14ac:dyDescent="0.2">
      <c r="A32" s="6" t="s">
        <v>66</v>
      </c>
      <c r="B32" s="11">
        <f>B27-B31</f>
        <v>26985.156911999999</v>
      </c>
      <c r="C32" s="11">
        <f>C27-C31</f>
        <v>16307.17035075005</v>
      </c>
      <c r="D32" s="11">
        <f>D27-D31</f>
        <v>29061.965644803448</v>
      </c>
      <c r="E32" s="11">
        <f>E27-E31</f>
        <v>47761.314415481938</v>
      </c>
      <c r="F32" s="11">
        <f>F27-F31</f>
        <v>60096.380613619302</v>
      </c>
      <c r="G32" s="1"/>
    </row>
    <row r="33" spans="1:7" x14ac:dyDescent="0.2">
      <c r="A33" s="6"/>
      <c r="B33" s="6"/>
      <c r="C33" s="6"/>
      <c r="D33" s="6"/>
      <c r="E33" s="6"/>
      <c r="F33" s="6"/>
      <c r="G33" s="1"/>
    </row>
    <row r="34" spans="1:7" ht="15" customHeight="1" x14ac:dyDescent="0.2">
      <c r="A34" s="6" t="s">
        <v>67</v>
      </c>
      <c r="B34" s="6"/>
      <c r="C34" s="6"/>
      <c r="D34" s="6"/>
      <c r="E34" s="6"/>
      <c r="F34" s="6"/>
      <c r="G34" s="1"/>
    </row>
    <row r="35" spans="1:7" ht="15" customHeight="1" x14ac:dyDescent="0.2">
      <c r="A35" s="6" t="s">
        <v>68</v>
      </c>
      <c r="B35" s="11">
        <f>'1. Inputs &amp; Assumptions'!$B$13</f>
        <v>575000</v>
      </c>
      <c r="C35" s="11">
        <f>B35</f>
        <v>575000</v>
      </c>
      <c r="D35" s="11">
        <f>C35*(1+D8)</f>
        <v>690000</v>
      </c>
      <c r="E35" s="11">
        <f>D35*(1+E8)</f>
        <v>828000</v>
      </c>
      <c r="F35" s="11">
        <f>E35*(1+F8)</f>
        <v>993600</v>
      </c>
      <c r="G35" s="1"/>
    </row>
    <row r="36" spans="1:7" ht="15" customHeight="1" x14ac:dyDescent="0.2">
      <c r="A36" s="6" t="s">
        <v>96</v>
      </c>
      <c r="B36" s="11">
        <v>88197</v>
      </c>
      <c r="C36" s="11">
        <f>C21*C14</f>
        <v>112451.17499999994</v>
      </c>
      <c r="D36" s="11">
        <f>D21*D14</f>
        <v>143375.24812499993</v>
      </c>
      <c r="E36" s="11">
        <f>E21*E14</f>
        <v>182803.44135937491</v>
      </c>
      <c r="F36" s="11">
        <f>F21*F14</f>
        <v>233074.38773320298</v>
      </c>
      <c r="G36" s="1"/>
    </row>
    <row r="37" spans="1:7" ht="15" customHeight="1" x14ac:dyDescent="0.2">
      <c r="A37" s="6" t="s">
        <v>97</v>
      </c>
      <c r="B37" s="11">
        <v>130363</v>
      </c>
      <c r="C37" s="11">
        <f>C21*C13</f>
        <v>166212.82500000007</v>
      </c>
      <c r="D37" s="11">
        <f>D21*D13</f>
        <v>211921.35187500005</v>
      </c>
      <c r="E37" s="11">
        <f>E21*E13</f>
        <v>270199.72364062507</v>
      </c>
      <c r="F37" s="11">
        <f>F21*F13</f>
        <v>344504.64764179697</v>
      </c>
      <c r="G37" s="1"/>
    </row>
    <row r="38" spans="1:7" ht="15" customHeight="1" x14ac:dyDescent="0.2">
      <c r="A38" s="6" t="s">
        <v>69</v>
      </c>
      <c r="B38" s="6"/>
      <c r="C38" s="11">
        <f>C37-B37</f>
        <v>35849.82500000007</v>
      </c>
      <c r="D38" s="11">
        <f>D37-C37</f>
        <v>45708.526874999981</v>
      </c>
      <c r="E38" s="11">
        <f>E37-D37</f>
        <v>58278.371765625023</v>
      </c>
      <c r="F38" s="11">
        <f>F37-E37</f>
        <v>74304.924001171894</v>
      </c>
      <c r="G38" s="1"/>
    </row>
    <row r="39" spans="1:7" ht="15" customHeight="1" x14ac:dyDescent="0.2">
      <c r="A39" s="6" t="s">
        <v>70</v>
      </c>
      <c r="B39" s="6"/>
      <c r="C39" s="11">
        <f>C18</f>
        <v>33678</v>
      </c>
      <c r="D39" s="11">
        <f>D18</f>
        <v>70232</v>
      </c>
      <c r="E39" s="11">
        <f>E18</f>
        <v>71388</v>
      </c>
      <c r="F39" s="11">
        <f>F18</f>
        <v>116801</v>
      </c>
      <c r="G39" s="1"/>
    </row>
    <row r="40" spans="1:7" ht="15" customHeight="1" x14ac:dyDescent="0.2">
      <c r="A40" s="6" t="s">
        <v>71</v>
      </c>
      <c r="B40" s="6"/>
      <c r="C40" s="11">
        <f>C35+C38+C39</f>
        <v>644527.82500000007</v>
      </c>
      <c r="D40" s="11">
        <f>D35+D38+D39</f>
        <v>805940.52687499998</v>
      </c>
      <c r="E40" s="11">
        <f>E35+E38+E39</f>
        <v>957666.37176562496</v>
      </c>
      <c r="F40" s="11">
        <f>F35+F38+F39</f>
        <v>1184705.924001172</v>
      </c>
      <c r="G40" s="1"/>
    </row>
    <row r="41" spans="1:7" ht="15" customHeight="1" x14ac:dyDescent="0.2">
      <c r="A41" s="6" t="s">
        <v>94</v>
      </c>
      <c r="B41" s="6"/>
      <c r="C41" s="11">
        <f>C32+C36</f>
        <v>128758.34535074999</v>
      </c>
      <c r="D41" s="11">
        <f>D32+D36</f>
        <v>172437.21376980338</v>
      </c>
      <c r="E41" s="11">
        <f>E32+E36</f>
        <v>230564.75577485684</v>
      </c>
      <c r="F41" s="11">
        <f>F32+F36</f>
        <v>293170.7683468223</v>
      </c>
      <c r="G41" s="1"/>
    </row>
    <row r="42" spans="1:7" ht="15" customHeight="1" x14ac:dyDescent="0.2">
      <c r="A42" s="6" t="s">
        <v>72</v>
      </c>
      <c r="B42" s="6"/>
      <c r="C42" s="11">
        <f>C40-C41</f>
        <v>515769.47964925005</v>
      </c>
      <c r="D42" s="11">
        <f>D40-D41</f>
        <v>633503.31310519658</v>
      </c>
      <c r="E42" s="11">
        <f>E40-E41</f>
        <v>727101.61599076819</v>
      </c>
      <c r="F42" s="11">
        <f>F40-F41</f>
        <v>891535.1556543496</v>
      </c>
      <c r="G42" s="1"/>
    </row>
    <row r="43" spans="1:7" ht="15" customHeight="1" x14ac:dyDescent="0.2">
      <c r="A43" s="6" t="s">
        <v>73</v>
      </c>
      <c r="B43" s="6"/>
      <c r="C43" s="11">
        <f>MAX(C42,0)*C10</f>
        <v>283673.21380708757</v>
      </c>
      <c r="D43" s="11">
        <f>MAX(D42,0)*D10</f>
        <v>348426.82220785815</v>
      </c>
      <c r="E43" s="11">
        <f>MAX(E42,0)*E10</f>
        <v>399905.88879492256</v>
      </c>
      <c r="F43" s="11">
        <f>MAX(F42,0)*F10</f>
        <v>490344.33560989233</v>
      </c>
      <c r="G43" s="1"/>
    </row>
    <row r="44" spans="1:7" ht="15" customHeight="1" x14ac:dyDescent="0.2">
      <c r="A44" s="6" t="s">
        <v>74</v>
      </c>
      <c r="B44" s="6"/>
      <c r="C44" s="11">
        <f>MAX(C42,0)*(1-C10)</f>
        <v>232096.26584216251</v>
      </c>
      <c r="D44" s="11">
        <f>MAX(D42,0)*(1-D10)</f>
        <v>285076.49089733843</v>
      </c>
      <c r="E44" s="11">
        <f>MAX(E42,0)*(1-E10)</f>
        <v>327195.72719584563</v>
      </c>
      <c r="F44" s="11">
        <f>MAX(F42,0)*(1-F10)</f>
        <v>401190.82004445727</v>
      </c>
      <c r="G44" s="1"/>
    </row>
    <row r="45" spans="1:7" ht="15" customHeight="1" x14ac:dyDescent="0.2">
      <c r="A45" s="6" t="s">
        <v>75</v>
      </c>
      <c r="B45" s="6"/>
      <c r="C45" s="12">
        <f>C44/C16</f>
        <v>5157.6947964925002</v>
      </c>
      <c r="D45" s="12">
        <f>D44/D16</f>
        <v>6335.033131051965</v>
      </c>
      <c r="E45" s="12">
        <f>E44/E16</f>
        <v>7271.016159907681</v>
      </c>
      <c r="F45" s="12">
        <f>F44/F16</f>
        <v>8915.3515565434955</v>
      </c>
      <c r="G45" s="1"/>
    </row>
    <row r="46" spans="1:7" x14ac:dyDescent="0.2">
      <c r="A46" s="6"/>
      <c r="B46" s="6"/>
      <c r="C46" s="6"/>
      <c r="D46" s="6"/>
      <c r="E46" s="6"/>
      <c r="F46" s="6"/>
      <c r="G46" s="1"/>
    </row>
    <row r="47" spans="1:7" ht="15" customHeight="1" x14ac:dyDescent="0.2">
      <c r="A47" s="6" t="s">
        <v>76</v>
      </c>
      <c r="B47" s="6"/>
      <c r="C47" s="6"/>
      <c r="D47" s="6"/>
      <c r="E47" s="6"/>
      <c r="F47" s="6"/>
      <c r="G47" s="1"/>
    </row>
    <row r="48" spans="1:7" ht="15" customHeight="1" x14ac:dyDescent="0.2">
      <c r="A48" s="6" t="s">
        <v>77</v>
      </c>
      <c r="B48" s="11">
        <f>'1. Inputs &amp; Assumptions'!$B$8</f>
        <v>1692323</v>
      </c>
      <c r="C48" s="11">
        <f>B48-C39+C43</f>
        <v>1942318.2138070876</v>
      </c>
      <c r="D48" s="11">
        <f>C48-D39+D43</f>
        <v>2220513.0360149457</v>
      </c>
      <c r="E48" s="11">
        <f>D48-E39+E43</f>
        <v>2549030.9248098684</v>
      </c>
      <c r="F48" s="11">
        <f>E48-F39+F43</f>
        <v>2922574.2604197608</v>
      </c>
      <c r="G48" s="1"/>
    </row>
    <row r="49" spans="1:7" ht="15" customHeight="1" x14ac:dyDescent="0.2">
      <c r="A49" s="6" t="s">
        <v>78</v>
      </c>
      <c r="B49" s="11">
        <f>'1. Inputs &amp; Assumptions'!$B$9</f>
        <v>767600</v>
      </c>
      <c r="C49" s="11">
        <f>B49+C32+C44</f>
        <v>1016003.4361929126</v>
      </c>
      <c r="D49" s="11">
        <f>C49+D32+D44</f>
        <v>1330141.8927350545</v>
      </c>
      <c r="E49" s="11">
        <f>D49+E32+E44</f>
        <v>1705098.934346382</v>
      </c>
      <c r="F49" s="11">
        <f>E49+F32+F44</f>
        <v>2166386.1350044585</v>
      </c>
      <c r="G49" s="1"/>
    </row>
    <row r="50" spans="1:7" ht="15" customHeight="1" x14ac:dyDescent="0.2">
      <c r="A50" s="6" t="s">
        <v>79</v>
      </c>
      <c r="B50" s="11">
        <f>B48+B49</f>
        <v>2459923</v>
      </c>
      <c r="C50" s="11">
        <f>C48+C49</f>
        <v>2958321.6500000004</v>
      </c>
      <c r="D50" s="11">
        <f>D48+D49</f>
        <v>3550654.92875</v>
      </c>
      <c r="E50" s="11">
        <f>E48+E49</f>
        <v>4254129.859156251</v>
      </c>
      <c r="F50" s="11">
        <f>F48+F49</f>
        <v>5088960.3954242188</v>
      </c>
      <c r="G50" s="1"/>
    </row>
    <row r="51" spans="1:7" ht="15" customHeight="1" x14ac:dyDescent="0.2">
      <c r="A51" s="6" t="s">
        <v>80</v>
      </c>
      <c r="B51" s="15">
        <f>B48/B50</f>
        <v>0.68795771249750504</v>
      </c>
      <c r="C51" s="15">
        <f>C48/C50</f>
        <v>0.65656086240895661</v>
      </c>
      <c r="D51" s="15">
        <f>D48/D50</f>
        <v>0.62538125516935894</v>
      </c>
      <c r="E51" s="15">
        <f>E48/E50</f>
        <v>0.59918973073272241</v>
      </c>
      <c r="F51" s="15">
        <f>F48/F50</f>
        <v>0.57429691593741183</v>
      </c>
      <c r="G51" s="3"/>
    </row>
    <row r="52" spans="1:7" ht="15" customHeight="1" x14ac:dyDescent="0.2">
      <c r="A52" s="6" t="s">
        <v>81</v>
      </c>
      <c r="B52" s="12">
        <f>'1. Inputs &amp; Assumptions'!$B$10</f>
        <v>49880</v>
      </c>
      <c r="C52" s="12">
        <f>B52+C45</f>
        <v>55037.694796492498</v>
      </c>
      <c r="D52" s="12">
        <f>C52+D45</f>
        <v>61372.72792754446</v>
      </c>
      <c r="E52" s="12">
        <f>D52+E45</f>
        <v>68643.744087452142</v>
      </c>
      <c r="F52" s="12">
        <f>E52+F45</f>
        <v>77559.095643995635</v>
      </c>
      <c r="G52" s="1"/>
    </row>
    <row r="53" spans="1:7" x14ac:dyDescent="0.2">
      <c r="A53" s="6"/>
      <c r="B53" s="6"/>
      <c r="C53" s="6"/>
      <c r="D53" s="6"/>
      <c r="E53" s="6"/>
      <c r="F53" s="6"/>
      <c r="G53" s="1"/>
    </row>
    <row r="54" spans="1:7" ht="15" customHeight="1" x14ac:dyDescent="0.2">
      <c r="A54" s="6" t="s">
        <v>82</v>
      </c>
      <c r="B54" s="6"/>
      <c r="C54" s="6"/>
      <c r="D54" s="6"/>
      <c r="E54" s="6"/>
      <c r="F54" s="6"/>
      <c r="G54" s="1"/>
    </row>
    <row r="55" spans="1:7" ht="15" customHeight="1" x14ac:dyDescent="0.2">
      <c r="A55" s="6" t="s">
        <v>95</v>
      </c>
      <c r="B55" s="14">
        <f>B22/B24</f>
        <v>1.2352690593193263</v>
      </c>
      <c r="C55" s="14">
        <f>C22/C24</f>
        <v>1.0195165166460545</v>
      </c>
      <c r="D55" s="14">
        <f>D22/D24</f>
        <v>1.087272886073934</v>
      </c>
      <c r="E55" s="14">
        <f>E22/E24</f>
        <v>1.1659567982534005</v>
      </c>
      <c r="F55" s="14">
        <f>F22/F24</f>
        <v>1.1610374184321808</v>
      </c>
      <c r="G55" s="3"/>
    </row>
    <row r="56" spans="1:7" ht="15" customHeight="1" x14ac:dyDescent="0.2">
      <c r="A56" s="6" t="s">
        <v>83</v>
      </c>
      <c r="B56" s="6"/>
      <c r="C56" s="15">
        <f>C27/((B49+C49)/2)</f>
        <v>2.151252448352543E-2</v>
      </c>
      <c r="D56" s="15">
        <f>D27/((C49+D49)/2)</f>
        <v>2.9146146571439061E-2</v>
      </c>
      <c r="E56" s="15">
        <f>E27/((D49+E49)/2)</f>
        <v>3.7024924786151263E-2</v>
      </c>
      <c r="F56" s="15">
        <f>F27/((E49+F49)/2)</f>
        <v>3.6524291317063959E-2</v>
      </c>
      <c r="G56" s="3"/>
    </row>
    <row r="57" spans="1:7" ht="15" customHeight="1" x14ac:dyDescent="0.2">
      <c r="A57" s="6" t="s">
        <v>84</v>
      </c>
      <c r="B57" s="6"/>
      <c r="C57" s="15">
        <f>(C27+C24*(1-C11))/((B50+C50)/2)</f>
        <v>5.2283131428921374E-2</v>
      </c>
      <c r="D57" s="15">
        <f>(D27+D24*(1-D11))/((C50+D50)/2)</f>
        <v>5.549037732681672E-2</v>
      </c>
      <c r="E57" s="15">
        <f>(E27+E24*(1-E11))/((D50+E50)/2)</f>
        <v>5.9003753419382618E-2</v>
      </c>
      <c r="F57" s="15">
        <f>(F27+F24*(1-F11))/((E50+F50)/2)</f>
        <v>6.2843477942031295E-2</v>
      </c>
      <c r="G57" s="3"/>
    </row>
    <row r="58" spans="1:7" x14ac:dyDescent="0.2">
      <c r="A58" s="16"/>
      <c r="B58" s="16"/>
      <c r="C58" s="16"/>
      <c r="D58" s="16"/>
      <c r="E58" s="16"/>
      <c r="F58" s="16"/>
    </row>
    <row r="59" spans="1:7" x14ac:dyDescent="0.2">
      <c r="A59" s="16"/>
      <c r="B59" s="16"/>
      <c r="C59" s="16"/>
      <c r="D59" s="16"/>
      <c r="E59" s="16"/>
      <c r="F59" s="16"/>
    </row>
    <row r="60" spans="1:7" x14ac:dyDescent="0.2">
      <c r="A60" s="16"/>
      <c r="B60" s="16"/>
      <c r="C60" s="16"/>
      <c r="D60" s="16"/>
      <c r="E60" s="16"/>
      <c r="F60" s="16"/>
    </row>
    <row r="61" spans="1:7" x14ac:dyDescent="0.2">
      <c r="A61" s="16"/>
      <c r="B61" s="16"/>
      <c r="C61" s="16"/>
      <c r="D61" s="16"/>
      <c r="E61" s="16"/>
      <c r="F61" s="16"/>
    </row>
    <row r="62" spans="1:7" x14ac:dyDescent="0.2">
      <c r="A62" s="16" t="str">
        <f>'2. Sustainable Growth (Q3)'!A30</f>
        <v>Team F</v>
      </c>
      <c r="B62" s="16"/>
      <c r="C62" s="16"/>
      <c r="D62" s="16"/>
      <c r="E62" s="16"/>
      <c r="F62" s="1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zoomScaleNormal="100" workbookViewId="0">
      <selection activeCell="B22" sqref="B22"/>
    </sheetView>
  </sheetViews>
  <sheetFormatPr baseColWidth="10" defaultColWidth="8.6640625" defaultRowHeight="15" x14ac:dyDescent="0.2"/>
  <cols>
    <col min="1" max="1" width="32" customWidth="1"/>
    <col min="2" max="7" width="13" customWidth="1"/>
  </cols>
  <sheetData>
    <row r="1" spans="1:7" ht="17.25" customHeight="1" x14ac:dyDescent="0.25">
      <c r="A1" s="5" t="s">
        <v>85</v>
      </c>
      <c r="B1" s="6"/>
      <c r="C1" s="6"/>
      <c r="D1" s="6"/>
      <c r="E1" s="6"/>
      <c r="F1" s="6"/>
      <c r="G1" s="6"/>
    </row>
    <row r="2" spans="1:7" ht="27.75" customHeight="1" x14ac:dyDescent="0.2">
      <c r="A2" s="7"/>
      <c r="B2" s="6"/>
      <c r="C2" s="6"/>
      <c r="D2" s="6"/>
      <c r="E2" s="6"/>
      <c r="F2" s="6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ht="15" customHeight="1" x14ac:dyDescent="0.2">
      <c r="A4" s="8" t="s">
        <v>86</v>
      </c>
      <c r="B4" s="9">
        <v>0.5</v>
      </c>
      <c r="C4" s="9">
        <v>0.55000000000000004</v>
      </c>
      <c r="D4" s="9">
        <v>0.6</v>
      </c>
      <c r="E4" s="9">
        <v>0.65</v>
      </c>
      <c r="F4" s="9">
        <v>0.68879999999999997</v>
      </c>
      <c r="G4" s="6"/>
    </row>
    <row r="5" spans="1:7" ht="15" customHeight="1" x14ac:dyDescent="0.2">
      <c r="A5" s="15">
        <v>0</v>
      </c>
      <c r="B5" s="15">
        <f>('1. Inputs &amp; Assumptions'!$B$6/'1. Inputs &amp; Assumptions'!$B$5)*('1. Inputs &amp; Assumptions'!$B$5/'1. Inputs &amp; Assumptions'!$B$7)*(1/(1-B$4))*(1-$A5)/(1-('1. Inputs &amp; Assumptions'!$B$6/'1. Inputs &amp; Assumptions'!$B$5)*('1. Inputs &amp; Assumptions'!$B$5/'1. Inputs &amp; Assumptions'!$B$7)*(1/(1-B$4))*(1-$A5))</f>
        <v>8.1239258538525261E-2</v>
      </c>
      <c r="C5" s="15">
        <f>('1. Inputs &amp; Assumptions'!$B$6/'1. Inputs &amp; Assumptions'!$B$5)*('1. Inputs &amp; Assumptions'!$B$5/'1. Inputs &amp; Assumptions'!$B$7)*(1/(1-C$4))*(1-$A5)/(1-('1. Inputs &amp; Assumptions'!$B$6/'1. Inputs &amp; Assumptions'!$B$5)*('1. Inputs &amp; Assumptions'!$B$5/'1. Inputs &amp; Assumptions'!$B$7)*(1/(1-C$4))*(1-$A5))</f>
        <v>9.1088056842763762E-2</v>
      </c>
      <c r="D5" s="15">
        <f>('1. Inputs &amp; Assumptions'!$B$6/'1. Inputs &amp; Assumptions'!$B$5)*('1. Inputs &amp; Assumptions'!$B$5/'1. Inputs &amp; Assumptions'!$B$7)*(1/(1-D$4))*(1-$A5)/(1-('1. Inputs &amp; Assumptions'!$B$6/'1. Inputs &amp; Assumptions'!$B$5)*('1. Inputs &amp; Assumptions'!$B$5/'1. Inputs &amp; Assumptions'!$B$7)*(1/(1-D$4))*(1-$A5))</f>
        <v>0.10365427222819891</v>
      </c>
      <c r="E5" s="15">
        <f>('1. Inputs &amp; Assumptions'!$B$6/'1. Inputs &amp; Assumptions'!$B$5)*('1. Inputs &amp; Assumptions'!$B$5/'1. Inputs &amp; Assumptions'!$B$7)*(1/(1-E$4))*(1-$A5)/(1-('1. Inputs &amp; Assumptions'!$B$6/'1. Inputs &amp; Assumptions'!$B$5)*('1. Inputs &amp; Assumptions'!$B$5/'1. Inputs &amp; Assumptions'!$B$7)*(1/(1-E$4))*(1-$A5))</f>
        <v>0.12024254736624343</v>
      </c>
      <c r="F5" s="15">
        <f>('1. Inputs &amp; Assumptions'!$B$6/'1. Inputs &amp; Assumptions'!$B$5)*('1. Inputs &amp; Assumptions'!$B$5/'1. Inputs &amp; Assumptions'!$B$7)*(1/(1-F$4))*(1-$A5)/(1-('1. Inputs &amp; Assumptions'!$B$6/'1. Inputs &amp; Assumptions'!$B$5)*('1. Inputs &amp; Assumptions'!$B$5/'1. Inputs &amp; Assumptions'!$B$7)*(1/(1-F$4))*(1-$A5))</f>
        <v>0.13729247225642702</v>
      </c>
      <c r="G5" s="1"/>
    </row>
    <row r="6" spans="1:7" ht="15" customHeight="1" x14ac:dyDescent="0.2">
      <c r="A6" s="15">
        <v>0.1</v>
      </c>
      <c r="B6" s="15">
        <f>('1. Inputs &amp; Assumptions'!$B$6/'1. Inputs &amp; Assumptions'!$B$5)*('1. Inputs &amp; Assumptions'!$B$5/'1. Inputs &amp; Assumptions'!$B$7)*(1/(1-B$4))*(1-$A6)/(1-('1. Inputs &amp; Assumptions'!$B$6/'1. Inputs &amp; Assumptions'!$B$5)*('1. Inputs &amp; Assumptions'!$B$5/'1. Inputs &amp; Assumptions'!$B$7)*(1/(1-B$4))*(1-$A6))</f>
        <v>7.252613573549116E-2</v>
      </c>
      <c r="C6" s="15">
        <f>('1. Inputs &amp; Assumptions'!$B$6/'1. Inputs &amp; Assumptions'!$B$5)*('1. Inputs &amp; Assumptions'!$B$5/'1. Inputs &amp; Assumptions'!$B$7)*(1/(1-C$4))*(1-$A6)/(1-('1. Inputs &amp; Assumptions'!$B$6/'1. Inputs &amp; Assumptions'!$B$5)*('1. Inputs &amp; Assumptions'!$B$5/'1. Inputs &amp; Assumptions'!$B$7)*(1/(1-C$4))*(1-$A6))</f>
        <v>8.1239258538525261E-2</v>
      </c>
      <c r="D6" s="15">
        <f>('1. Inputs &amp; Assumptions'!$B$6/'1. Inputs &amp; Assumptions'!$B$5)*('1. Inputs &amp; Assumptions'!$B$5/'1. Inputs &amp; Assumptions'!$B$7)*(1/(1-D$4))*(1-$A6)/(1-('1. Inputs &amp; Assumptions'!$B$6/'1. Inputs &amp; Assumptions'!$B$5)*('1. Inputs &amp; Assumptions'!$B$5/'1. Inputs &amp; Assumptions'!$B$7)*(1/(1-D$4))*(1-$A6))</f>
        <v>9.2331786591115864E-2</v>
      </c>
      <c r="E6" s="15">
        <f>('1. Inputs &amp; Assumptions'!$B$6/'1. Inputs &amp; Assumptions'!$B$5)*('1. Inputs &amp; Assumptions'!$B$5/'1. Inputs &amp; Assumptions'!$B$7)*(1/(1-E$4))*(1-$A6)/(1-('1. Inputs &amp; Assumptions'!$B$6/'1. Inputs &amp; Assumptions'!$B$5)*('1. Inputs &amp; Assumptions'!$B$5/'1. Inputs &amp; Assumptions'!$B$7)*(1/(1-E$4))*(1-$A6))</f>
        <v>0.10693250890294374</v>
      </c>
      <c r="F6" s="15">
        <f>('1. Inputs &amp; Assumptions'!$B$6/'1. Inputs &amp; Assumptions'!$B$5)*('1. Inputs &amp; Assumptions'!$B$5/'1. Inputs &amp; Assumptions'!$B$7)*(1/(1-F$4))*(1-$A6)/(1-('1. Inputs &amp; Assumptions'!$B$6/'1. Inputs &amp; Assumptions'!$B$5)*('1. Inputs &amp; Assumptions'!$B$5/'1. Inputs &amp; Assumptions'!$B$7)*(1/(1-F$4))*(1-$A6))</f>
        <v>0.12188977024087064</v>
      </c>
      <c r="G6" s="1"/>
    </row>
    <row r="7" spans="1:7" ht="15" customHeight="1" x14ac:dyDescent="0.2">
      <c r="A7" s="15">
        <v>0.15</v>
      </c>
      <c r="B7" s="15">
        <f>('1. Inputs &amp; Assumptions'!$B$6/'1. Inputs &amp; Assumptions'!$B$5)*('1. Inputs &amp; Assumptions'!$B$5/'1. Inputs &amp; Assumptions'!$B$7)*(1/(1-B$4))*(1-$A7)/(1-('1. Inputs &amp; Assumptions'!$B$6/'1. Inputs &amp; Assumptions'!$B$5)*('1. Inputs &amp; Assumptions'!$B$5/'1. Inputs &amp; Assumptions'!$B$7)*(1/(1-B$4))*(1-$A7))</f>
        <v>6.8222023763761616E-2</v>
      </c>
      <c r="C7" s="15">
        <f>('1. Inputs &amp; Assumptions'!$B$6/'1. Inputs &amp; Assumptions'!$B$5)*('1. Inputs &amp; Assumptions'!$B$5/'1. Inputs &amp; Assumptions'!$B$7)*(1/(1-C$4))*(1-$A7)/(1-('1. Inputs &amp; Assumptions'!$B$6/'1. Inputs &amp; Assumptions'!$B$5)*('1. Inputs &amp; Assumptions'!$B$5/'1. Inputs &amp; Assumptions'!$B$7)*(1/(1-C$4))*(1-$A7))</f>
        <v>7.6381235567288139E-2</v>
      </c>
      <c r="D7" s="13">
        <f>('1. Inputs &amp; Assumptions'!$B$6/'1. Inputs &amp; Assumptions'!$B$5)*('1. Inputs &amp; Assumptions'!$B$5/'1. Inputs &amp; Assumptions'!$B$7)*(1/(1-D$4))*(1-$A7)/(1-('1. Inputs &amp; Assumptions'!$B$6/'1. Inputs &amp; Assumptions'!$B$5)*('1. Inputs &amp; Assumptions'!$B$5/'1. Inputs &amp; Assumptions'!$B$7)*(1/(1-D$4))*(1-$A7))</f>
        <v>8.6757217950882773E-2</v>
      </c>
      <c r="E7" s="15">
        <f>('1. Inputs &amp; Assumptions'!$B$6/'1. Inputs &amp; Assumptions'!$B$5)*('1. Inputs &amp; Assumptions'!$B$5/'1. Inputs &amp; Assumptions'!$B$7)*(1/(1-E$4))*(1-$A7)/(1-('1. Inputs &amp; Assumptions'!$B$6/'1. Inputs &amp; Assumptions'!$B$5)*('1. Inputs &amp; Assumptions'!$B$5/'1. Inputs &amp; Assumptions'!$B$7)*(1/(1-E$4))*(1-$A7))</f>
        <v>0.10039539554566898</v>
      </c>
      <c r="F7" s="15">
        <f>('1. Inputs &amp; Assumptions'!$B$6/'1. Inputs &amp; Assumptions'!$B$5)*('1. Inputs &amp; Assumptions'!$B$5/'1. Inputs &amp; Assumptions'!$B$7)*(1/(1-F$4))*(1-$A7)/(1-('1. Inputs &amp; Assumptions'!$B$6/'1. Inputs &amp; Assumptions'!$B$5)*('1. Inputs &amp; Assumptions'!$B$5/'1. Inputs &amp; Assumptions'!$B$7)*(1/(1-F$4))*(1-$A7))</f>
        <v>0.11434381956663112</v>
      </c>
      <c r="G7" s="1"/>
    </row>
    <row r="8" spans="1:7" ht="15" customHeight="1" x14ac:dyDescent="0.2">
      <c r="A8" s="15">
        <v>0.2</v>
      </c>
      <c r="B8" s="15">
        <f>('1. Inputs &amp; Assumptions'!$B$6/'1. Inputs &amp; Assumptions'!$B$5)*('1. Inputs &amp; Assumptions'!$B$5/'1. Inputs &amp; Assumptions'!$B$7)*(1/(1-B$4))*(1-$A8)/(1-('1. Inputs &amp; Assumptions'!$B$6/'1. Inputs &amp; Assumptions'!$B$5)*('1. Inputs &amp; Assumptions'!$B$5/'1. Inputs &amp; Assumptions'!$B$7)*(1/(1-B$4))*(1-$A8))</f>
        <v>6.395231903477927E-2</v>
      </c>
      <c r="C8" s="15">
        <f>('1. Inputs &amp; Assumptions'!$B$6/'1. Inputs &amp; Assumptions'!$B$5)*('1. Inputs &amp; Assumptions'!$B$5/'1. Inputs &amp; Assumptions'!$B$7)*(1/(1-C$4))*(1-$A8)/(1-('1. Inputs &amp; Assumptions'!$B$6/'1. Inputs &amp; Assumptions'!$B$5)*('1. Inputs &amp; Assumptions'!$B$5/'1. Inputs &amp; Assumptions'!$B$7)*(1/(1-C$4))*(1-$A8))</f>
        <v>7.1566671662915193E-2</v>
      </c>
      <c r="D8" s="15">
        <f>('1. Inputs &amp; Assumptions'!$B$6/'1. Inputs &amp; Assumptions'!$B$5)*('1. Inputs &amp; Assumptions'!$B$5/'1. Inputs &amp; Assumptions'!$B$7)*(1/(1-D$4))*(1-$A8)/(1-('1. Inputs &amp; Assumptions'!$B$6/'1. Inputs &amp; Assumptions'!$B$5)*('1. Inputs &amp; Assumptions'!$B$5/'1. Inputs &amp; Assumptions'!$B$7)*(1/(1-D$4))*(1-$A8))</f>
        <v>8.1239258538525275E-2</v>
      </c>
      <c r="E8" s="15">
        <f>('1. Inputs &amp; Assumptions'!$B$6/'1. Inputs &amp; Assumptions'!$B$5)*('1. Inputs &amp; Assumptions'!$B$5/'1. Inputs &amp; Assumptions'!$B$7)*(1/(1-E$4))*(1-$A8)/(1-('1. Inputs &amp; Assumptions'!$B$6/'1. Inputs &amp; Assumptions'!$B$5)*('1. Inputs &amp; Assumptions'!$B$5/'1. Inputs &amp; Assumptions'!$B$7)*(1/(1-E$4))*(1-$A8))</f>
        <v>9.3935040189136301E-2</v>
      </c>
      <c r="F8" s="15">
        <f>('1. Inputs &amp; Assumptions'!$B$6/'1. Inputs &amp; Assumptions'!$B$5)*('1. Inputs &amp; Assumptions'!$B$5/'1. Inputs &amp; Assumptions'!$B$7)*(1/(1-F$4))*(1-$A8)/(1-('1. Inputs &amp; Assumptions'!$B$6/'1. Inputs &amp; Assumptions'!$B$5)*('1. Inputs &amp; Assumptions'!$B$5/'1. Inputs &amp; Assumptions'!$B$7)*(1/(1-F$4))*(1-$A8))</f>
        <v>0.1068987004324671</v>
      </c>
      <c r="G8" s="1"/>
    </row>
    <row r="9" spans="1:7" ht="15" customHeight="1" x14ac:dyDescent="0.2">
      <c r="A9" s="15">
        <v>0.3</v>
      </c>
      <c r="B9" s="15">
        <f>('1. Inputs &amp; Assumptions'!$B$6/'1. Inputs &amp; Assumptions'!$B$5)*('1. Inputs &amp; Assumptions'!$B$5/'1. Inputs &amp; Assumptions'!$B$7)*(1/(1-B$4))*(1-$A9)/(1-('1. Inputs &amp; Assumptions'!$B$6/'1. Inputs &amp; Assumptions'!$B$5)*('1. Inputs &amp; Assumptions'!$B$5/'1. Inputs &amp; Assumptions'!$B$7)*(1/(1-B$4))*(1-$A9))</f>
        <v>5.5514494075907257E-2</v>
      </c>
      <c r="C9" s="15">
        <f>('1. Inputs &amp; Assumptions'!$B$6/'1. Inputs &amp; Assumptions'!$B$5)*('1. Inputs &amp; Assumptions'!$B$5/'1. Inputs &amp; Assumptions'!$B$7)*(1/(1-C$4))*(1-$A9)/(1-('1. Inputs &amp; Assumptions'!$B$6/'1. Inputs &amp; Assumptions'!$B$5)*('1. Inputs &amp; Assumptions'!$B$5/'1. Inputs &amp; Assumptions'!$B$7)*(1/(1-C$4))*(1-$A9))</f>
        <v>6.206560907180074E-2</v>
      </c>
      <c r="D9" s="15">
        <f>('1. Inputs &amp; Assumptions'!$B$6/'1. Inputs &amp; Assumptions'!$B$5)*('1. Inputs &amp; Assumptions'!$B$5/'1. Inputs &amp; Assumptions'!$B$7)*(1/(1-D$4))*(1-$A9)/(1-('1. Inputs &amp; Assumptions'!$B$6/'1. Inputs &amp; Assumptions'!$B$5)*('1. Inputs &amp; Assumptions'!$B$5/'1. Inputs &amp; Assumptions'!$B$7)*(1/(1-D$4))*(1-$A9))</f>
        <v>7.0369752902541882E-2</v>
      </c>
      <c r="E9" s="15">
        <f>('1. Inputs &amp; Assumptions'!$B$6/'1. Inputs &amp; Assumptions'!$B$5)*('1. Inputs &amp; Assumptions'!$B$5/'1. Inputs &amp; Assumptions'!$B$7)*(1/(1-E$4))*(1-$A9)/(1-('1. Inputs &amp; Assumptions'!$B$6/'1. Inputs &amp; Assumptions'!$B$5)*('1. Inputs &amp; Assumptions'!$B$5/'1. Inputs &amp; Assumptions'!$B$7)*(1/(1-E$4))*(1-$A9))</f>
        <v>8.1239258538525261E-2</v>
      </c>
      <c r="F9" s="15">
        <f>('1. Inputs &amp; Assumptions'!$B$6/'1. Inputs &amp; Assumptions'!$B$5)*('1. Inputs &amp; Assumptions'!$B$5/'1. Inputs &amp; Assumptions'!$B$7)*(1/(1-F$4))*(1-$A9)/(1-('1. Inputs &amp; Assumptions'!$B$6/'1. Inputs &amp; Assumptions'!$B$5)*('1. Inputs &amp; Assumptions'!$B$5/'1. Inputs &amp; Assumptions'!$B$7)*(1/(1-F$4))*(1-$A9))</f>
        <v>9.2302979311601821E-2</v>
      </c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ht="15" customHeight="1" x14ac:dyDescent="0.2">
      <c r="A11" s="2"/>
      <c r="B11" s="1"/>
      <c r="C11" s="1"/>
      <c r="D11" s="1"/>
      <c r="E11" s="1"/>
      <c r="F11" s="1"/>
      <c r="G11" s="1"/>
    </row>
    <row r="12" spans="1:7" ht="15.75" customHeight="1" x14ac:dyDescent="0.2">
      <c r="A12" s="4" t="s">
        <v>99</v>
      </c>
      <c r="B12" s="4"/>
      <c r="C12" s="4"/>
      <c r="D12" s="4"/>
      <c r="E12" s="4"/>
      <c r="F12" s="4"/>
      <c r="G12" s="4"/>
    </row>
    <row r="13" spans="1:7" ht="15" customHeight="1" x14ac:dyDescent="0.2">
      <c r="A13" s="4"/>
      <c r="B13" s="4"/>
      <c r="C13" s="4"/>
      <c r="D13" s="4"/>
      <c r="E13" s="4"/>
      <c r="F13" s="4"/>
      <c r="G13" s="4"/>
    </row>
    <row r="14" spans="1:7" ht="15" customHeight="1" x14ac:dyDescent="0.2">
      <c r="A14" s="4"/>
      <c r="B14" s="4"/>
      <c r="C14" s="4"/>
      <c r="D14" s="4"/>
      <c r="E14" s="4"/>
      <c r="F14" s="4"/>
      <c r="G14" s="4"/>
    </row>
    <row r="15" spans="1:7" ht="15" customHeight="1" x14ac:dyDescent="0.2">
      <c r="A15" s="4"/>
      <c r="B15" s="4"/>
      <c r="C15" s="4"/>
      <c r="D15" s="4"/>
      <c r="E15" s="4"/>
      <c r="F15" s="4"/>
      <c r="G15" s="4"/>
    </row>
    <row r="18" spans="1:1" x14ac:dyDescent="0.2">
      <c r="A18" t="str">
        <f>'3. Financing Plan 1982-85 (Q4)'!A62</f>
        <v>Team F</v>
      </c>
    </row>
  </sheetData>
  <mergeCells count="1">
    <mergeCell ref="A12:G15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37B6-BA1C-BE44-862F-CFC04A2F74D6}">
  <dimension ref="A1:B12"/>
  <sheetViews>
    <sheetView tabSelected="1" workbookViewId="0">
      <selection activeCell="M34" sqref="M34"/>
    </sheetView>
  </sheetViews>
  <sheetFormatPr baseColWidth="10" defaultRowHeight="15" x14ac:dyDescent="0.2"/>
  <cols>
    <col min="2" max="3" width="22.6640625" customWidth="1"/>
  </cols>
  <sheetData>
    <row r="1" spans="1:2" x14ac:dyDescent="0.2">
      <c r="A1">
        <v>1</v>
      </c>
      <c r="B1" t="s">
        <v>100</v>
      </c>
    </row>
    <row r="3" spans="1:2" x14ac:dyDescent="0.2">
      <c r="B3" t="s">
        <v>104</v>
      </c>
    </row>
    <row r="4" spans="1:2" x14ac:dyDescent="0.2">
      <c r="B4" t="s">
        <v>101</v>
      </c>
    </row>
    <row r="5" spans="1:2" x14ac:dyDescent="0.2">
      <c r="B5" t="s">
        <v>102</v>
      </c>
    </row>
    <row r="6" spans="1:2" x14ac:dyDescent="0.2">
      <c r="B6" t="s">
        <v>103</v>
      </c>
    </row>
    <row r="8" spans="1:2" x14ac:dyDescent="0.2">
      <c r="A8">
        <v>2</v>
      </c>
      <c r="B8" t="s">
        <v>105</v>
      </c>
    </row>
    <row r="10" spans="1:2" x14ac:dyDescent="0.2">
      <c r="B10" t="s">
        <v>108</v>
      </c>
    </row>
    <row r="11" spans="1:2" x14ac:dyDescent="0.2">
      <c r="B11" t="s">
        <v>106</v>
      </c>
    </row>
    <row r="12" spans="1:2" x14ac:dyDescent="0.2">
      <c r="B1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Inputs &amp; Assumptions</vt:lpstr>
      <vt:lpstr>2. Sustainable Growth (Q3)</vt:lpstr>
      <vt:lpstr>3. Financing Plan 1982-85 (Q4)</vt:lpstr>
      <vt:lpstr>4. Sensitivity</vt:lpstr>
      <vt:lpstr>5. Answers to 1 and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Matthew Olivo</cp:lastModifiedBy>
  <cp:revision>0</cp:revision>
  <dcterms:created xsi:type="dcterms:W3CDTF">2026-06-22T13:31:26Z</dcterms:created>
  <dcterms:modified xsi:type="dcterms:W3CDTF">2026-06-23T17:20:37Z</dcterms:modified>
  <dc:language>en-US</dc:language>
</cp:coreProperties>
</file>