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defaultThemeVersion="202300"/>
  <mc:AlternateContent xmlns:mc="http://schemas.openxmlformats.org/markup-compatibility/2006">
    <mc:Choice Requires="x15">
      <x15ac:absPath xmlns:x15ac="http://schemas.microsoft.com/office/spreadsheetml/2010/11/ac" url="/Users/matthewolivo/Downloads/"/>
    </mc:Choice>
  </mc:AlternateContent>
  <xr:revisionPtr revIDLastSave="0" documentId="13_ncr:1_{EC9F4EDC-A1ED-0C4D-A0B1-7186401DDCD0}" xr6:coauthVersionLast="47" xr6:coauthVersionMax="47" xr10:uidLastSave="{00000000-0000-0000-0000-000000000000}"/>
  <bookViews>
    <workbookView xWindow="3660" yWindow="500" windowWidth="25140" windowHeight="16120" activeTab="2" xr2:uid="{E9ECD6E1-6C67-2642-A249-ED9ED9F512DF}"/>
  </bookViews>
  <sheets>
    <sheet name="Sheet1" sheetId="1" r:id="rId1"/>
    <sheet name="Sheet2" sheetId="2" r:id="rId2"/>
    <sheet name="Sheet3" sheetId="3" r:id="rId3"/>
    <sheet name="Sheet4" sheetId="4" r:id="rId4"/>
    <sheet name="Sheet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5" l="1"/>
  <c r="D9" i="5"/>
  <c r="D8" i="5"/>
  <c r="D7" i="5"/>
  <c r="D6" i="5"/>
  <c r="D4" i="5"/>
  <c r="P37" i="4"/>
  <c r="Q18" i="4"/>
  <c r="Q19" i="4"/>
  <c r="Q20" i="4"/>
  <c r="Q21" i="4"/>
  <c r="R21" i="4" s="1"/>
  <c r="Q22" i="4"/>
  <c r="Q23" i="4"/>
  <c r="Q24" i="4"/>
  <c r="R24" i="4" s="1"/>
  <c r="Q25" i="4"/>
  <c r="Q26" i="4"/>
  <c r="Q27" i="4"/>
  <c r="Q28" i="4"/>
  <c r="Q29" i="4"/>
  <c r="R29" i="4" s="1"/>
  <c r="Q30" i="4"/>
  <c r="R30" i="4" s="1"/>
  <c r="Q31" i="4"/>
  <c r="R31" i="4" s="1"/>
  <c r="Q32" i="4"/>
  <c r="Q33" i="4"/>
  <c r="R33" i="4" s="1"/>
  <c r="Q34" i="4"/>
  <c r="Q35" i="4"/>
  <c r="Q36" i="4"/>
  <c r="Q17" i="4"/>
  <c r="R20" i="4"/>
  <c r="R22" i="4"/>
  <c r="R25" i="4"/>
  <c r="P38" i="4"/>
  <c r="R18" i="4"/>
  <c r="R19" i="4"/>
  <c r="R23" i="4"/>
  <c r="R26" i="4"/>
  <c r="R27" i="4"/>
  <c r="R28" i="4"/>
  <c r="R32" i="4"/>
  <c r="R34" i="4"/>
  <c r="R35" i="4"/>
  <c r="R36" i="4"/>
  <c r="R17" i="4"/>
  <c r="P18" i="4"/>
  <c r="P19" i="4"/>
  <c r="P20" i="4"/>
  <c r="P21" i="4"/>
  <c r="P22" i="4"/>
  <c r="P23" i="4"/>
  <c r="P24" i="4"/>
  <c r="P25" i="4"/>
  <c r="P26" i="4"/>
  <c r="P27" i="4"/>
  <c r="P28" i="4"/>
  <c r="P29" i="4"/>
  <c r="P30" i="4"/>
  <c r="P31" i="4"/>
  <c r="P32" i="4"/>
  <c r="P33" i="4"/>
  <c r="P34" i="4"/>
  <c r="P35" i="4"/>
  <c r="P36" i="4"/>
  <c r="P17" i="4"/>
  <c r="L44" i="4"/>
  <c r="L41" i="4"/>
  <c r="L40" i="4"/>
  <c r="L39" i="4"/>
  <c r="L38" i="4"/>
  <c r="I53" i="4"/>
  <c r="I51" i="4"/>
  <c r="I47" i="4"/>
  <c r="I46" i="4"/>
  <c r="I44" i="4"/>
  <c r="I43" i="4"/>
  <c r="I42" i="4"/>
  <c r="I40" i="4"/>
  <c r="I39" i="4"/>
  <c r="I38" i="4"/>
  <c r="L19" i="4"/>
  <c r="L20" i="4" s="1"/>
  <c r="L21" i="4" s="1"/>
  <c r="L22" i="4" s="1"/>
  <c r="L23" i="4" s="1"/>
  <c r="L24" i="4" s="1"/>
  <c r="L25" i="4" s="1"/>
  <c r="L26" i="4" s="1"/>
  <c r="L27" i="4" s="1"/>
  <c r="L28" i="4" s="1"/>
  <c r="L29" i="4" s="1"/>
  <c r="L30" i="4" s="1"/>
  <c r="L31" i="4" s="1"/>
  <c r="L32" i="4" s="1"/>
  <c r="L33" i="4" s="1"/>
  <c r="L34" i="4" s="1"/>
  <c r="L35" i="4" s="1"/>
  <c r="L36" i="4" s="1"/>
  <c r="K19" i="4"/>
  <c r="K20" i="4"/>
  <c r="K21" i="4"/>
  <c r="K22" i="4"/>
  <c r="K23" i="4"/>
  <c r="K24" i="4"/>
  <c r="K25" i="4"/>
  <c r="K26" i="4"/>
  <c r="K27" i="4"/>
  <c r="K28" i="4"/>
  <c r="K29" i="4"/>
  <c r="K30" i="4"/>
  <c r="K31" i="4"/>
  <c r="K32" i="4"/>
  <c r="K33" i="4"/>
  <c r="K34" i="4"/>
  <c r="K35" i="4"/>
  <c r="K36" i="4"/>
  <c r="J19" i="4"/>
  <c r="J20" i="4"/>
  <c r="J21" i="4"/>
  <c r="J22" i="4"/>
  <c r="J23" i="4"/>
  <c r="J24" i="4"/>
  <c r="J25" i="4"/>
  <c r="J26" i="4"/>
  <c r="J27" i="4"/>
  <c r="J28" i="4"/>
  <c r="J29" i="4"/>
  <c r="J30" i="4"/>
  <c r="J31" i="4"/>
  <c r="J32" i="4"/>
  <c r="J33" i="4"/>
  <c r="J34" i="4"/>
  <c r="J35" i="4"/>
  <c r="J36" i="4"/>
  <c r="I19" i="4"/>
  <c r="I20" i="4"/>
  <c r="I21" i="4" s="1"/>
  <c r="I22" i="4" s="1"/>
  <c r="I23" i="4" s="1"/>
  <c r="I24" i="4" s="1"/>
  <c r="I25" i="4" s="1"/>
  <c r="I26" i="4" s="1"/>
  <c r="I27" i="4" s="1"/>
  <c r="I28" i="4" s="1"/>
  <c r="I29" i="4" s="1"/>
  <c r="I30" i="4" s="1"/>
  <c r="I31" i="4" s="1"/>
  <c r="I32" i="4" s="1"/>
  <c r="I33" i="4" s="1"/>
  <c r="I34" i="4" s="1"/>
  <c r="I35" i="4" s="1"/>
  <c r="I36" i="4" s="1"/>
  <c r="H19" i="4"/>
  <c r="H20" i="4"/>
  <c r="H21" i="4" s="1"/>
  <c r="H22" i="4" s="1"/>
  <c r="H23" i="4" s="1"/>
  <c r="H24" i="4" s="1"/>
  <c r="H25" i="4" s="1"/>
  <c r="H26" i="4" s="1"/>
  <c r="H27" i="4" s="1"/>
  <c r="H28" i="4" s="1"/>
  <c r="H29" i="4" s="1"/>
  <c r="H30" i="4" s="1"/>
  <c r="H31" i="4" s="1"/>
  <c r="H32" i="4" s="1"/>
  <c r="H33" i="4" s="1"/>
  <c r="H34" i="4" s="1"/>
  <c r="H35" i="4" s="1"/>
  <c r="H36" i="4" s="1"/>
  <c r="L18" i="4"/>
  <c r="J18" i="4"/>
  <c r="I18" i="4"/>
  <c r="H18" i="4"/>
  <c r="L17" i="4"/>
  <c r="K17" i="4"/>
  <c r="J17" i="4"/>
  <c r="I17" i="4"/>
  <c r="H17" i="4"/>
  <c r="E25" i="4"/>
  <c r="E24" i="4"/>
  <c r="E23" i="4"/>
  <c r="E22" i="4"/>
  <c r="E19" i="4"/>
  <c r="E20" i="4"/>
  <c r="E21" i="4"/>
  <c r="E18" i="4"/>
  <c r="E17" i="4"/>
  <c r="E16" i="4"/>
  <c r="B24" i="4"/>
  <c r="B22" i="4"/>
  <c r="B19" i="4"/>
  <c r="B18" i="4"/>
  <c r="B16" i="4"/>
  <c r="B11" i="4"/>
  <c r="B8" i="4"/>
  <c r="Q7" i="3" a="1"/>
  <c r="Q7" i="3" s="1"/>
  <c r="T7" i="3" s="1"/>
  <c r="Q8" i="3" a="1"/>
  <c r="Q8" i="3" s="1"/>
  <c r="T8" i="3" s="1"/>
  <c r="Q9" i="3" a="1"/>
  <c r="Q9" i="3" s="1"/>
  <c r="T9" i="3" s="1"/>
  <c r="Q10" i="3" a="1"/>
  <c r="Q10" i="3" s="1"/>
  <c r="T10" i="3" s="1"/>
  <c r="Q11" i="3" a="1"/>
  <c r="Q11" i="3" s="1"/>
  <c r="T11" i="3" s="1"/>
  <c r="Q12" i="3" a="1"/>
  <c r="Q12" i="3" s="1"/>
  <c r="T12" i="3" s="1"/>
  <c r="Q13" i="3" a="1"/>
  <c r="Q13" i="3" s="1"/>
  <c r="T13" i="3" s="1"/>
  <c r="Q14" i="3" a="1"/>
  <c r="Q14" i="3" s="1"/>
  <c r="T14" i="3" s="1"/>
  <c r="Q15" i="3" a="1"/>
  <c r="Q15" i="3" s="1"/>
  <c r="T15" i="3" s="1"/>
  <c r="Q16" i="3" a="1"/>
  <c r="Q16" i="3" s="1"/>
  <c r="T16" i="3" s="1"/>
  <c r="Q17" i="3" a="1"/>
  <c r="Q17" i="3" s="1"/>
  <c r="T17" i="3" s="1"/>
  <c r="Q18" i="3" a="1"/>
  <c r="Q18" i="3" s="1"/>
  <c r="T18" i="3" s="1"/>
  <c r="Q19" i="3" a="1"/>
  <c r="Q19" i="3" s="1"/>
  <c r="T19" i="3" s="1"/>
  <c r="Q20" i="3" a="1"/>
  <c r="Q20" i="3" s="1"/>
  <c r="T20" i="3" s="1"/>
  <c r="Q6" i="3" a="1"/>
  <c r="Q6" i="3" s="1"/>
  <c r="T6" i="3" s="1"/>
  <c r="P7" i="3" a="1"/>
  <c r="P7" i="3" s="1"/>
  <c r="P8" i="3" a="1"/>
  <c r="P8" i="3" s="1"/>
  <c r="P9" i="3" a="1"/>
  <c r="P9" i="3" s="1"/>
  <c r="P10" i="3" a="1"/>
  <c r="P10" i="3" s="1"/>
  <c r="P11" i="3" a="1"/>
  <c r="P11" i="3" s="1"/>
  <c r="P12" i="3" a="1"/>
  <c r="P12" i="3" s="1"/>
  <c r="P13" i="3" a="1"/>
  <c r="P13" i="3" s="1"/>
  <c r="P14" i="3" a="1"/>
  <c r="P14" i="3" s="1"/>
  <c r="P15" i="3" a="1"/>
  <c r="P15" i="3" s="1"/>
  <c r="P16" i="3" a="1"/>
  <c r="P16" i="3" s="1"/>
  <c r="P17" i="3" a="1"/>
  <c r="P17" i="3" s="1"/>
  <c r="P18" i="3" a="1"/>
  <c r="P18" i="3" s="1"/>
  <c r="P19" i="3" a="1"/>
  <c r="P19" i="3" s="1"/>
  <c r="P20" i="3" a="1"/>
  <c r="P20" i="3" s="1"/>
  <c r="P6" i="3" a="1"/>
  <c r="P6" i="3" s="1"/>
  <c r="L29" i="3"/>
  <c r="L28" i="3"/>
  <c r="L27" i="3"/>
  <c r="L26" i="3"/>
  <c r="L25" i="3"/>
  <c r="I31" i="3"/>
  <c r="I30" i="3"/>
  <c r="I29" i="3"/>
  <c r="I28" i="3"/>
  <c r="I27" i="3"/>
  <c r="I26" i="3"/>
  <c r="I25" i="3"/>
  <c r="L14" i="3"/>
  <c r="L13" i="3"/>
  <c r="L12" i="3"/>
  <c r="L11" i="3"/>
  <c r="L10" i="3"/>
  <c r="I16" i="3"/>
  <c r="I15" i="3"/>
  <c r="I14" i="3"/>
  <c r="I13" i="3"/>
  <c r="I12" i="3"/>
  <c r="I11" i="3"/>
  <c r="I10" i="3"/>
  <c r="B8" i="3"/>
  <c r="B9" i="3" s="1"/>
  <c r="M29" i="2"/>
  <c r="M41" i="2"/>
  <c r="M53" i="2"/>
  <c r="M65" i="2"/>
  <c r="M77" i="2"/>
  <c r="M89" i="2"/>
  <c r="M101" i="2"/>
  <c r="M113" i="2"/>
  <c r="M125" i="2"/>
  <c r="M137" i="2"/>
  <c r="M17" i="2"/>
  <c r="R90" i="2"/>
  <c r="R91" i="2"/>
  <c r="R92" i="2"/>
  <c r="R93" i="2"/>
  <c r="R94" i="2"/>
  <c r="R95" i="2"/>
  <c r="R96" i="2"/>
  <c r="R97" i="2"/>
  <c r="R98" i="2"/>
  <c r="R99" i="2"/>
  <c r="R100" i="2"/>
  <c r="R101" i="2"/>
  <c r="R89" i="2"/>
  <c r="Q90" i="2"/>
  <c r="R7" i="2"/>
  <c r="R8" i="2" s="1"/>
  <c r="R9" i="2" s="1"/>
  <c r="R10" i="2" s="1"/>
  <c r="R6" i="2"/>
  <c r="Q136" i="2"/>
  <c r="Q132" i="2"/>
  <c r="Q128" i="2"/>
  <c r="Q124" i="2"/>
  <c r="Q120" i="2"/>
  <c r="Q116" i="2"/>
  <c r="Q112" i="2"/>
  <c r="Q108" i="2"/>
  <c r="Q104" i="2"/>
  <c r="Q100" i="2"/>
  <c r="Q96" i="2"/>
  <c r="Q92" i="2"/>
  <c r="S21" i="2"/>
  <c r="S20" i="2"/>
  <c r="S32" i="2" s="1"/>
  <c r="S44" i="2" s="1"/>
  <c r="S18" i="2"/>
  <c r="S30" i="2" s="1"/>
  <c r="S42" i="2" s="1"/>
  <c r="S54" i="2" s="1"/>
  <c r="S66" i="2" s="1"/>
  <c r="S78" i="2" s="1"/>
  <c r="S90" i="2" s="1"/>
  <c r="S9" i="2"/>
  <c r="S10" i="2" s="1"/>
  <c r="S7" i="2"/>
  <c r="S19" i="2" s="1"/>
  <c r="S31" i="2" s="1"/>
  <c r="S43" i="2" s="1"/>
  <c r="S55" i="2" s="1"/>
  <c r="S67" i="2" s="1"/>
  <c r="S79" i="2" s="1"/>
  <c r="S91" i="2" s="1"/>
  <c r="S103" i="2" s="1"/>
  <c r="S115" i="2" s="1"/>
  <c r="S127" i="2" s="1"/>
  <c r="H66" i="2"/>
  <c r="H78" i="2" s="1"/>
  <c r="H90" i="2" s="1"/>
  <c r="H102" i="2" s="1"/>
  <c r="H114" i="2" s="1"/>
  <c r="H126" i="2" s="1"/>
  <c r="H20" i="2"/>
  <c r="H32" i="2" s="1"/>
  <c r="H44" i="2" s="1"/>
  <c r="H56" i="2" s="1"/>
  <c r="H68" i="2" s="1"/>
  <c r="H80" i="2" s="1"/>
  <c r="H92" i="2" s="1"/>
  <c r="H104" i="2" s="1"/>
  <c r="H116" i="2" s="1"/>
  <c r="H128" i="2" s="1"/>
  <c r="H21" i="2"/>
  <c r="H33" i="2" s="1"/>
  <c r="H45" i="2" s="1"/>
  <c r="H18" i="2"/>
  <c r="H30" i="2" s="1"/>
  <c r="H42" i="2" s="1"/>
  <c r="H54" i="2" s="1"/>
  <c r="H16" i="2"/>
  <c r="H17" i="2" s="1"/>
  <c r="H29" i="2" s="1"/>
  <c r="H41" i="2" s="1"/>
  <c r="H53" i="2" s="1"/>
  <c r="H65" i="2" s="1"/>
  <c r="H77" i="2" s="1"/>
  <c r="H9" i="2"/>
  <c r="H10" i="2" s="1"/>
  <c r="H7" i="2"/>
  <c r="H19" i="2" s="1"/>
  <c r="H31" i="2" s="1"/>
  <c r="H43" i="2" s="1"/>
  <c r="H55" i="2" s="1"/>
  <c r="H67" i="2" s="1"/>
  <c r="H79" i="2" s="1"/>
  <c r="H91" i="2" s="1"/>
  <c r="H103" i="2" s="1"/>
  <c r="H115" i="2" s="1"/>
  <c r="H127" i="2" s="1"/>
  <c r="F93" i="2"/>
  <c r="F96" i="2"/>
  <c r="F98" i="2"/>
  <c r="F101" i="2"/>
  <c r="F106" i="2"/>
  <c r="F109" i="2"/>
  <c r="F112" i="2"/>
  <c r="F114" i="2"/>
  <c r="L114" i="2" s="1"/>
  <c r="F117" i="2"/>
  <c r="F122" i="2"/>
  <c r="F125" i="2"/>
  <c r="F128" i="2"/>
  <c r="L128" i="2" s="1"/>
  <c r="F130" i="2"/>
  <c r="F133" i="2"/>
  <c r="F91" i="2"/>
  <c r="F90" i="2"/>
  <c r="Q130" i="2" s="1"/>
  <c r="F13" i="2"/>
  <c r="F16" i="2"/>
  <c r="L16" i="2" s="1"/>
  <c r="F45" i="2"/>
  <c r="F48" i="2"/>
  <c r="F64" i="2"/>
  <c r="F77" i="2"/>
  <c r="F80" i="2"/>
  <c r="L80" i="2" s="1"/>
  <c r="B7" i="2"/>
  <c r="Q67" i="2" s="1"/>
  <c r="B11" i="1"/>
  <c r="Q37" i="4" l="1"/>
  <c r="K18" i="4"/>
  <c r="Y17" i="3"/>
  <c r="Y16" i="3"/>
  <c r="Y9" i="3"/>
  <c r="Y7" i="3"/>
  <c r="U15" i="3"/>
  <c r="Y19" i="3"/>
  <c r="Y18" i="3"/>
  <c r="Y20" i="3"/>
  <c r="Y15" i="3"/>
  <c r="W6" i="3"/>
  <c r="W20" i="3"/>
  <c r="Y14" i="3"/>
  <c r="U13" i="3"/>
  <c r="Y12" i="3"/>
  <c r="V19" i="3"/>
  <c r="V17" i="3"/>
  <c r="Y11" i="3"/>
  <c r="X16" i="3"/>
  <c r="Y8" i="3"/>
  <c r="V11" i="3"/>
  <c r="V13" i="3"/>
  <c r="V20" i="3"/>
  <c r="X14" i="3"/>
  <c r="W11" i="3"/>
  <c r="W13" i="3"/>
  <c r="W14" i="3"/>
  <c r="X15" i="3"/>
  <c r="X11" i="3"/>
  <c r="X13" i="3"/>
  <c r="V14" i="3"/>
  <c r="W15" i="3"/>
  <c r="U16" i="3"/>
  <c r="Y13" i="3"/>
  <c r="V15" i="3"/>
  <c r="W16" i="3"/>
  <c r="X17" i="3"/>
  <c r="V7" i="3"/>
  <c r="V12" i="3"/>
  <c r="V16" i="3"/>
  <c r="W17" i="3"/>
  <c r="X18" i="3"/>
  <c r="W7" i="3"/>
  <c r="W12" i="3"/>
  <c r="W18" i="3"/>
  <c r="X19" i="3"/>
  <c r="U17" i="3"/>
  <c r="X7" i="3"/>
  <c r="X12" i="3"/>
  <c r="V18" i="3"/>
  <c r="W19" i="3"/>
  <c r="X20" i="3"/>
  <c r="U14" i="3"/>
  <c r="U12" i="3"/>
  <c r="U19" i="3"/>
  <c r="U11" i="3"/>
  <c r="U18" i="3"/>
  <c r="Y10" i="3"/>
  <c r="U20" i="3"/>
  <c r="X6" i="3"/>
  <c r="U9" i="3"/>
  <c r="V9" i="3"/>
  <c r="Y6" i="3"/>
  <c r="U10" i="3"/>
  <c r="W9" i="3"/>
  <c r="U7" i="3"/>
  <c r="X9" i="3"/>
  <c r="V8" i="3"/>
  <c r="V10" i="3"/>
  <c r="U6" i="3"/>
  <c r="W8" i="3"/>
  <c r="W10" i="3"/>
  <c r="V6" i="3"/>
  <c r="X8" i="3"/>
  <c r="X10" i="3"/>
  <c r="U8" i="3"/>
  <c r="Q75" i="2"/>
  <c r="F67" i="2"/>
  <c r="F35" i="2"/>
  <c r="F124" i="2"/>
  <c r="F108" i="2"/>
  <c r="F92" i="2"/>
  <c r="Q7" i="2"/>
  <c r="W7" i="2" s="1"/>
  <c r="Q77" i="2"/>
  <c r="Q102" i="2"/>
  <c r="Q118" i="2"/>
  <c r="Q134" i="2"/>
  <c r="F32" i="2"/>
  <c r="L32" i="2" s="1"/>
  <c r="Q23" i="2"/>
  <c r="Q85" i="2"/>
  <c r="F63" i="2"/>
  <c r="F31" i="2"/>
  <c r="L31" i="2" s="1"/>
  <c r="F136" i="2"/>
  <c r="F120" i="2"/>
  <c r="F104" i="2"/>
  <c r="L104" i="2" s="1"/>
  <c r="Q91" i="2"/>
  <c r="Q107" i="2"/>
  <c r="Q123" i="2"/>
  <c r="F61" i="2"/>
  <c r="F29" i="2"/>
  <c r="Q10" i="2"/>
  <c r="Q43" i="2"/>
  <c r="F83" i="2"/>
  <c r="F51" i="2"/>
  <c r="F19" i="2"/>
  <c r="L19" i="2" s="1"/>
  <c r="F132" i="2"/>
  <c r="F116" i="2"/>
  <c r="L116" i="2" s="1"/>
  <c r="F100" i="2"/>
  <c r="S16" i="2"/>
  <c r="S28" i="2" s="1"/>
  <c r="Q45" i="2"/>
  <c r="Q94" i="2"/>
  <c r="Q110" i="2"/>
  <c r="Q126" i="2"/>
  <c r="Q51" i="2"/>
  <c r="F79" i="2"/>
  <c r="L79" i="2" s="1"/>
  <c r="F47" i="2"/>
  <c r="F15" i="2"/>
  <c r="Q53" i="2"/>
  <c r="Q99" i="2"/>
  <c r="Q115" i="2"/>
  <c r="W115" i="2" s="1"/>
  <c r="Q131" i="2"/>
  <c r="L101" i="2"/>
  <c r="L45" i="2"/>
  <c r="H57" i="2"/>
  <c r="H69" i="2" s="1"/>
  <c r="H81" i="2" s="1"/>
  <c r="H89" i="2"/>
  <c r="H101" i="2" s="1"/>
  <c r="H113" i="2" s="1"/>
  <c r="H125" i="2" s="1"/>
  <c r="L77" i="2"/>
  <c r="L67" i="2"/>
  <c r="F59" i="2"/>
  <c r="F11" i="2"/>
  <c r="Q12" i="2"/>
  <c r="F88" i="2"/>
  <c r="F24" i="2"/>
  <c r="H28" i="2"/>
  <c r="H40" i="2" s="1"/>
  <c r="H52" i="2" s="1"/>
  <c r="H64" i="2" s="1"/>
  <c r="H76" i="2" s="1"/>
  <c r="H88" i="2" s="1"/>
  <c r="H100" i="2" s="1"/>
  <c r="H112" i="2" s="1"/>
  <c r="H124" i="2" s="1"/>
  <c r="Q61" i="2"/>
  <c r="H11" i="2"/>
  <c r="H22" i="2"/>
  <c r="H34" i="2" s="1"/>
  <c r="H46" i="2" s="1"/>
  <c r="H58" i="2" s="1"/>
  <c r="H70" i="2" s="1"/>
  <c r="H82" i="2" s="1"/>
  <c r="H94" i="2" s="1"/>
  <c r="H106" i="2" s="1"/>
  <c r="H118" i="2" s="1"/>
  <c r="H130" i="2" s="1"/>
  <c r="L130" i="2" s="1"/>
  <c r="L90" i="2"/>
  <c r="F75" i="2"/>
  <c r="F27" i="2"/>
  <c r="Q29" i="2"/>
  <c r="F55" i="2"/>
  <c r="L55" i="2" s="1"/>
  <c r="Q17" i="2"/>
  <c r="Q35" i="2"/>
  <c r="L91" i="2"/>
  <c r="L92" i="2"/>
  <c r="L29" i="2"/>
  <c r="Q89" i="2"/>
  <c r="Q81" i="2"/>
  <c r="Q73" i="2"/>
  <c r="Q65" i="2"/>
  <c r="Q57" i="2"/>
  <c r="Q49" i="2"/>
  <c r="Q41" i="2"/>
  <c r="Q33" i="2"/>
  <c r="Q27" i="2"/>
  <c r="Q16" i="2"/>
  <c r="Q9" i="2"/>
  <c r="W9" i="2" s="1"/>
  <c r="F9" i="2"/>
  <c r="L9" i="2" s="1"/>
  <c r="F17" i="2"/>
  <c r="L17" i="2" s="1"/>
  <c r="F25" i="2"/>
  <c r="F33" i="2"/>
  <c r="L33" i="2" s="1"/>
  <c r="F41" i="2"/>
  <c r="L41" i="2" s="1"/>
  <c r="F49" i="2"/>
  <c r="F57" i="2"/>
  <c r="F65" i="2"/>
  <c r="L65" i="2" s="1"/>
  <c r="F73" i="2"/>
  <c r="F81" i="2"/>
  <c r="F89" i="2"/>
  <c r="L89" i="2" s="1"/>
  <c r="Q88" i="2"/>
  <c r="Q80" i="2"/>
  <c r="Q72" i="2"/>
  <c r="Q64" i="2"/>
  <c r="Q56" i="2"/>
  <c r="Q48" i="2"/>
  <c r="Q40" i="2"/>
  <c r="Q26" i="2"/>
  <c r="Q20" i="2"/>
  <c r="Q15" i="2"/>
  <c r="Q8" i="2"/>
  <c r="W8" i="2" s="1"/>
  <c r="F10" i="2"/>
  <c r="L10" i="2" s="1"/>
  <c r="F18" i="2"/>
  <c r="L18" i="2" s="1"/>
  <c r="F26" i="2"/>
  <c r="F34" i="2"/>
  <c r="L34" i="2" s="1"/>
  <c r="F42" i="2"/>
  <c r="L42" i="2" s="1"/>
  <c r="F50" i="2"/>
  <c r="F58" i="2"/>
  <c r="L58" i="2" s="1"/>
  <c r="F66" i="2"/>
  <c r="L66" i="2" s="1"/>
  <c r="F74" i="2"/>
  <c r="F82" i="2"/>
  <c r="L82" i="2" s="1"/>
  <c r="F6" i="2"/>
  <c r="L6" i="2" s="1"/>
  <c r="Q87" i="2"/>
  <c r="Q79" i="2"/>
  <c r="Q71" i="2"/>
  <c r="Q63" i="2"/>
  <c r="Q55" i="2"/>
  <c r="Q47" i="2"/>
  <c r="Q39" i="2"/>
  <c r="Q32" i="2"/>
  <c r="Q25" i="2"/>
  <c r="Q14" i="2"/>
  <c r="Q86" i="2"/>
  <c r="Q78" i="2"/>
  <c r="Q70" i="2"/>
  <c r="Q62" i="2"/>
  <c r="Q54" i="2"/>
  <c r="Q46" i="2"/>
  <c r="Q38" i="2"/>
  <c r="Q31" i="2"/>
  <c r="Q24" i="2"/>
  <c r="Q19" i="2"/>
  <c r="Q13" i="2"/>
  <c r="F12" i="2"/>
  <c r="F20" i="2"/>
  <c r="L20" i="2" s="1"/>
  <c r="F28" i="2"/>
  <c r="F36" i="2"/>
  <c r="F44" i="2"/>
  <c r="L44" i="2" s="1"/>
  <c r="F52" i="2"/>
  <c r="F60" i="2"/>
  <c r="F68" i="2"/>
  <c r="L68" i="2" s="1"/>
  <c r="F76" i="2"/>
  <c r="F84" i="2"/>
  <c r="Q84" i="2"/>
  <c r="Q76" i="2"/>
  <c r="Q68" i="2"/>
  <c r="Q60" i="2"/>
  <c r="Q52" i="2"/>
  <c r="Q44" i="2"/>
  <c r="Q36" i="2"/>
  <c r="Q30" i="2"/>
  <c r="Q22" i="2"/>
  <c r="Q18" i="2"/>
  <c r="Q11" i="2"/>
  <c r="F14" i="2"/>
  <c r="F22" i="2"/>
  <c r="L22" i="2" s="1"/>
  <c r="F30" i="2"/>
  <c r="L30" i="2" s="1"/>
  <c r="F38" i="2"/>
  <c r="F46" i="2"/>
  <c r="L46" i="2" s="1"/>
  <c r="F54" i="2"/>
  <c r="L54" i="2" s="1"/>
  <c r="F62" i="2"/>
  <c r="F70" i="2"/>
  <c r="L70" i="2" s="1"/>
  <c r="F78" i="2"/>
  <c r="L78" i="2" s="1"/>
  <c r="F86" i="2"/>
  <c r="Q83" i="2"/>
  <c r="Q82" i="2"/>
  <c r="Q74" i="2"/>
  <c r="Q66" i="2"/>
  <c r="Q58" i="2"/>
  <c r="Q50" i="2"/>
  <c r="Q42" i="2"/>
  <c r="Q34" i="2"/>
  <c r="Q28" i="2"/>
  <c r="Q21" i="2"/>
  <c r="F43" i="2"/>
  <c r="L43" i="2" s="1"/>
  <c r="Q59" i="2"/>
  <c r="F72" i="2"/>
  <c r="F56" i="2"/>
  <c r="L56" i="2" s="1"/>
  <c r="F40" i="2"/>
  <c r="F8" i="2"/>
  <c r="L8" i="2" s="1"/>
  <c r="F87" i="2"/>
  <c r="F71" i="2"/>
  <c r="F39" i="2"/>
  <c r="F23" i="2"/>
  <c r="F7" i="2"/>
  <c r="L7" i="2" s="1"/>
  <c r="F85" i="2"/>
  <c r="F69" i="2"/>
  <c r="F53" i="2"/>
  <c r="L53" i="2" s="1"/>
  <c r="F37" i="2"/>
  <c r="F21" i="2"/>
  <c r="L21" i="2" s="1"/>
  <c r="Q6" i="2"/>
  <c r="W6" i="2" s="1"/>
  <c r="Q37" i="2"/>
  <c r="Q69" i="2"/>
  <c r="F131" i="2"/>
  <c r="F123" i="2"/>
  <c r="F115" i="2"/>
  <c r="L115" i="2" s="1"/>
  <c r="F107" i="2"/>
  <c r="F99" i="2"/>
  <c r="Q93" i="2"/>
  <c r="Q101" i="2"/>
  <c r="Q109" i="2"/>
  <c r="Q117" i="2"/>
  <c r="Q125" i="2"/>
  <c r="Q133" i="2"/>
  <c r="F137" i="2"/>
  <c r="F129" i="2"/>
  <c r="F121" i="2"/>
  <c r="F113" i="2"/>
  <c r="L113" i="2" s="1"/>
  <c r="F105" i="2"/>
  <c r="F97" i="2"/>
  <c r="Q95" i="2"/>
  <c r="Q103" i="2"/>
  <c r="W103" i="2" s="1"/>
  <c r="Q111" i="2"/>
  <c r="Q119" i="2"/>
  <c r="Q127" i="2"/>
  <c r="W127" i="2" s="1"/>
  <c r="Q135" i="2"/>
  <c r="F135" i="2"/>
  <c r="F127" i="2"/>
  <c r="L127" i="2" s="1"/>
  <c r="F119" i="2"/>
  <c r="F111" i="2"/>
  <c r="F103" i="2"/>
  <c r="L103" i="2" s="1"/>
  <c r="F95" i="2"/>
  <c r="Q97" i="2"/>
  <c r="Q105" i="2"/>
  <c r="Q113" i="2"/>
  <c r="Q121" i="2"/>
  <c r="Q129" i="2"/>
  <c r="Q137" i="2"/>
  <c r="F134" i="2"/>
  <c r="F126" i="2"/>
  <c r="L126" i="2" s="1"/>
  <c r="F118" i="2"/>
  <c r="F110" i="2"/>
  <c r="F102" i="2"/>
  <c r="L102" i="2" s="1"/>
  <c r="F94" i="2"/>
  <c r="Q98" i="2"/>
  <c r="Q106" i="2"/>
  <c r="Q114" i="2"/>
  <c r="Q122" i="2"/>
  <c r="W10" i="2"/>
  <c r="R11" i="2"/>
  <c r="R12" i="2" s="1"/>
  <c r="R13" i="2" s="1"/>
  <c r="R14" i="2" s="1"/>
  <c r="R15" i="2" s="1"/>
  <c r="R16" i="2" s="1"/>
  <c r="R17" i="2" s="1"/>
  <c r="R18" i="2" s="1"/>
  <c r="W16" i="2"/>
  <c r="W90" i="2"/>
  <c r="S102" i="2"/>
  <c r="S114" i="2" s="1"/>
  <c r="S40" i="2"/>
  <c r="S52" i="2" s="1"/>
  <c r="S56" i="2"/>
  <c r="S68" i="2" s="1"/>
  <c r="S33" i="2"/>
  <c r="S45" i="2" s="1"/>
  <c r="S11" i="2"/>
  <c r="S22" i="2"/>
  <c r="S34" i="2" s="1"/>
  <c r="W91" i="2"/>
  <c r="S17" i="2"/>
  <c r="S29" i="2" s="1"/>
  <c r="H93" i="2"/>
  <c r="Y21" i="3" l="1"/>
  <c r="V21" i="3"/>
  <c r="U21" i="3"/>
  <c r="X21" i="3"/>
  <c r="D11" i="5" s="1"/>
  <c r="B6" i="5" s="1"/>
  <c r="W21" i="3"/>
  <c r="L69" i="2"/>
  <c r="L11" i="2"/>
  <c r="W11" i="2"/>
  <c r="L81" i="2"/>
  <c r="L57" i="2"/>
  <c r="L40" i="2"/>
  <c r="L52" i="2"/>
  <c r="L100" i="2"/>
  <c r="H136" i="2"/>
  <c r="L136" i="2" s="1"/>
  <c r="L124" i="2"/>
  <c r="L28" i="2"/>
  <c r="L64" i="2"/>
  <c r="L76" i="2"/>
  <c r="L112" i="2"/>
  <c r="H105" i="2"/>
  <c r="H117" i="2" s="1"/>
  <c r="L93" i="2"/>
  <c r="H137" i="2"/>
  <c r="L125" i="2"/>
  <c r="L137" i="2"/>
  <c r="L106" i="2"/>
  <c r="L94" i="2"/>
  <c r="L88" i="2"/>
  <c r="L118" i="2"/>
  <c r="H12" i="2"/>
  <c r="H23" i="2"/>
  <c r="H35" i="2" s="1"/>
  <c r="R19" i="2"/>
  <c r="W18" i="2"/>
  <c r="W17" i="2"/>
  <c r="S80" i="2"/>
  <c r="W114" i="2"/>
  <c r="S126" i="2"/>
  <c r="W126" i="2" s="1"/>
  <c r="S64" i="2"/>
  <c r="S57" i="2"/>
  <c r="S46" i="2"/>
  <c r="S41" i="2"/>
  <c r="S12" i="2"/>
  <c r="S23" i="2"/>
  <c r="W102" i="2"/>
  <c r="H13" i="2" l="1"/>
  <c r="H24" i="2"/>
  <c r="L12" i="2"/>
  <c r="L105" i="2"/>
  <c r="L23" i="2"/>
  <c r="H47" i="2"/>
  <c r="L35" i="2"/>
  <c r="H129" i="2"/>
  <c r="L129" i="2" s="1"/>
  <c r="L117" i="2"/>
  <c r="R20" i="2"/>
  <c r="W19" i="2"/>
  <c r="S35" i="2"/>
  <c r="S69" i="2"/>
  <c r="S76" i="2"/>
  <c r="W12" i="2"/>
  <c r="S24" i="2"/>
  <c r="S13" i="2"/>
  <c r="S53" i="2"/>
  <c r="S58" i="2"/>
  <c r="S92" i="2"/>
  <c r="H36" i="2" l="1"/>
  <c r="L24" i="2"/>
  <c r="H59" i="2"/>
  <c r="L47" i="2"/>
  <c r="H14" i="2"/>
  <c r="H25" i="2"/>
  <c r="L13" i="2"/>
  <c r="W20" i="2"/>
  <c r="R21" i="2"/>
  <c r="S104" i="2"/>
  <c r="W92" i="2"/>
  <c r="S88" i="2"/>
  <c r="S36" i="2"/>
  <c r="S70" i="2"/>
  <c r="S81" i="2"/>
  <c r="S65" i="2"/>
  <c r="S25" i="2"/>
  <c r="S14" i="2"/>
  <c r="W13" i="2"/>
  <c r="S47" i="2"/>
  <c r="H15" i="2" l="1"/>
  <c r="H26" i="2"/>
  <c r="L14" i="2"/>
  <c r="H37" i="2"/>
  <c r="L25" i="2"/>
  <c r="H48" i="2"/>
  <c r="L36" i="2"/>
  <c r="H71" i="2"/>
  <c r="L59" i="2"/>
  <c r="R22" i="2"/>
  <c r="W21" i="2"/>
  <c r="S59" i="2"/>
  <c r="S37" i="2"/>
  <c r="S77" i="2"/>
  <c r="S82" i="2"/>
  <c r="S26" i="2"/>
  <c r="S15" i="2"/>
  <c r="W14" i="2"/>
  <c r="S48" i="2"/>
  <c r="S100" i="2"/>
  <c r="S93" i="2"/>
  <c r="S116" i="2"/>
  <c r="W104" i="2"/>
  <c r="H49" i="2" l="1"/>
  <c r="L37" i="2"/>
  <c r="H27" i="2"/>
  <c r="L15" i="2"/>
  <c r="N17" i="2" s="1"/>
  <c r="B7" i="3" s="1"/>
  <c r="H83" i="2"/>
  <c r="L71" i="2"/>
  <c r="H38" i="2"/>
  <c r="L26" i="2"/>
  <c r="H60" i="2"/>
  <c r="L48" i="2"/>
  <c r="R23" i="2"/>
  <c r="W22" i="2"/>
  <c r="S105" i="2"/>
  <c r="W93" i="2"/>
  <c r="S94" i="2"/>
  <c r="S112" i="2"/>
  <c r="W100" i="2"/>
  <c r="S89" i="2"/>
  <c r="S60" i="2"/>
  <c r="S49" i="2"/>
  <c r="S128" i="2"/>
  <c r="W128" i="2" s="1"/>
  <c r="W116" i="2"/>
  <c r="S27" i="2"/>
  <c r="W15" i="2"/>
  <c r="Y17" i="2" s="1"/>
  <c r="S38" i="2"/>
  <c r="S71" i="2"/>
  <c r="B39" i="3" l="1"/>
  <c r="B31" i="3"/>
  <c r="B23" i="3"/>
  <c r="B15" i="3"/>
  <c r="B38" i="3"/>
  <c r="B30" i="3"/>
  <c r="B22" i="3"/>
  <c r="B14" i="3"/>
  <c r="B37" i="3"/>
  <c r="B29" i="3"/>
  <c r="B21" i="3"/>
  <c r="F7" i="3" s="1"/>
  <c r="B13" i="3"/>
  <c r="B36" i="3"/>
  <c r="B28" i="3"/>
  <c r="B20" i="3"/>
  <c r="B12" i="3"/>
  <c r="B35" i="3"/>
  <c r="B27" i="3"/>
  <c r="B19" i="3"/>
  <c r="B34" i="3"/>
  <c r="B26" i="3"/>
  <c r="B18" i="3"/>
  <c r="B41" i="3"/>
  <c r="B33" i="3"/>
  <c r="B25" i="3"/>
  <c r="B17" i="3"/>
  <c r="B40" i="3"/>
  <c r="B32" i="3"/>
  <c r="B24" i="3"/>
  <c r="B16" i="3"/>
  <c r="H39" i="2"/>
  <c r="L27" i="2"/>
  <c r="N29" i="2" s="1"/>
  <c r="H95" i="2"/>
  <c r="L83" i="2"/>
  <c r="H61" i="2"/>
  <c r="L49" i="2"/>
  <c r="H72" i="2"/>
  <c r="L60" i="2"/>
  <c r="H50" i="2"/>
  <c r="L38" i="2"/>
  <c r="R24" i="2"/>
  <c r="W23" i="2"/>
  <c r="S39" i="2"/>
  <c r="S124" i="2"/>
  <c r="W112" i="2"/>
  <c r="S61" i="2"/>
  <c r="S101" i="2"/>
  <c r="W89" i="2"/>
  <c r="S106" i="2"/>
  <c r="W94" i="2"/>
  <c r="S83" i="2"/>
  <c r="S50" i="2"/>
  <c r="S72" i="2"/>
  <c r="S117" i="2"/>
  <c r="W105" i="2"/>
  <c r="H84" i="2" l="1"/>
  <c r="L72" i="2"/>
  <c r="H51" i="2"/>
  <c r="L39" i="2"/>
  <c r="N41" i="2" s="1"/>
  <c r="H73" i="2"/>
  <c r="L61" i="2"/>
  <c r="F8" i="3"/>
  <c r="F9" i="3" s="1"/>
  <c r="H62" i="2"/>
  <c r="L50" i="2"/>
  <c r="H107" i="2"/>
  <c r="L95" i="2"/>
  <c r="R25" i="2"/>
  <c r="W24" i="2"/>
  <c r="S113" i="2"/>
  <c r="W101" i="2"/>
  <c r="S73" i="2"/>
  <c r="S84" i="2"/>
  <c r="S62" i="2"/>
  <c r="S95" i="2"/>
  <c r="S136" i="2"/>
  <c r="W136" i="2" s="1"/>
  <c r="W124" i="2"/>
  <c r="S129" i="2"/>
  <c r="W129" i="2" s="1"/>
  <c r="W117" i="2"/>
  <c r="W106" i="2"/>
  <c r="S118" i="2"/>
  <c r="S51" i="2"/>
  <c r="F13" i="3" l="1"/>
  <c r="F25" i="3"/>
  <c r="H74" i="2"/>
  <c r="L62" i="2"/>
  <c r="F18" i="3"/>
  <c r="H63" i="2"/>
  <c r="L51" i="2"/>
  <c r="N53" i="2" s="1"/>
  <c r="F19" i="3"/>
  <c r="F16" i="3"/>
  <c r="F27" i="3"/>
  <c r="F22" i="3"/>
  <c r="H96" i="2"/>
  <c r="L84" i="2"/>
  <c r="F29" i="3"/>
  <c r="F23" i="3"/>
  <c r="F26" i="3"/>
  <c r="F31" i="3"/>
  <c r="F14" i="3"/>
  <c r="F24" i="3"/>
  <c r="F28" i="3"/>
  <c r="F30" i="3"/>
  <c r="F21" i="3"/>
  <c r="H85" i="2"/>
  <c r="L73" i="2"/>
  <c r="F15" i="3"/>
  <c r="F20" i="3"/>
  <c r="H119" i="2"/>
  <c r="L107" i="2"/>
  <c r="F17" i="3"/>
  <c r="F12" i="3"/>
  <c r="R26" i="2"/>
  <c r="W25" i="2"/>
  <c r="S74" i="2"/>
  <c r="S96" i="2"/>
  <c r="S85" i="2"/>
  <c r="S130" i="2"/>
  <c r="W130" i="2" s="1"/>
  <c r="W118" i="2"/>
  <c r="S63" i="2"/>
  <c r="S107" i="2"/>
  <c r="W95" i="2"/>
  <c r="S125" i="2"/>
  <c r="W113" i="2"/>
  <c r="H97" i="2" l="1"/>
  <c r="L85" i="2"/>
  <c r="H131" i="2"/>
  <c r="L131" i="2" s="1"/>
  <c r="L119" i="2"/>
  <c r="H108" i="2"/>
  <c r="L96" i="2"/>
  <c r="H75" i="2"/>
  <c r="L63" i="2"/>
  <c r="N65" i="2" s="1"/>
  <c r="H86" i="2"/>
  <c r="L74" i="2"/>
  <c r="R27" i="2"/>
  <c r="W26" i="2"/>
  <c r="S97" i="2"/>
  <c r="S137" i="2"/>
  <c r="W137" i="2" s="1"/>
  <c r="W125" i="2"/>
  <c r="S119" i="2"/>
  <c r="W107" i="2"/>
  <c r="S108" i="2"/>
  <c r="W96" i="2"/>
  <c r="S75" i="2"/>
  <c r="S86" i="2"/>
  <c r="H120" i="2" l="1"/>
  <c r="L108" i="2"/>
  <c r="H98" i="2"/>
  <c r="L86" i="2"/>
  <c r="H87" i="2"/>
  <c r="L75" i="2"/>
  <c r="N77" i="2" s="1"/>
  <c r="H109" i="2"/>
  <c r="L97" i="2"/>
  <c r="R28" i="2"/>
  <c r="W27" i="2"/>
  <c r="S98" i="2"/>
  <c r="S120" i="2"/>
  <c r="W108" i="2"/>
  <c r="S131" i="2"/>
  <c r="W131" i="2" s="1"/>
  <c r="W119" i="2"/>
  <c r="S87" i="2"/>
  <c r="S109" i="2"/>
  <c r="W97" i="2"/>
  <c r="H121" i="2" l="1"/>
  <c r="L109" i="2"/>
  <c r="H132" i="2"/>
  <c r="L132" i="2" s="1"/>
  <c r="L120" i="2"/>
  <c r="H110" i="2"/>
  <c r="L98" i="2"/>
  <c r="H99" i="2"/>
  <c r="L87" i="2"/>
  <c r="N89" i="2" s="1"/>
  <c r="R29" i="2"/>
  <c r="W28" i="2"/>
  <c r="S99" i="2"/>
  <c r="S132" i="2"/>
  <c r="W132" i="2" s="1"/>
  <c r="W120" i="2"/>
  <c r="S121" i="2"/>
  <c r="W109" i="2"/>
  <c r="W98" i="2"/>
  <c r="S110" i="2"/>
  <c r="W29" i="2" l="1"/>
  <c r="Y29" i="2" s="1"/>
  <c r="R30" i="2"/>
  <c r="H122" i="2"/>
  <c r="L110" i="2"/>
  <c r="H133" i="2"/>
  <c r="L133" i="2" s="1"/>
  <c r="L121" i="2"/>
  <c r="H111" i="2"/>
  <c r="L99" i="2"/>
  <c r="N101" i="2" s="1"/>
  <c r="S133" i="2"/>
  <c r="W133" i="2" s="1"/>
  <c r="W121" i="2"/>
  <c r="S122" i="2"/>
  <c r="W110" i="2"/>
  <c r="S111" i="2"/>
  <c r="W99" i="2"/>
  <c r="Y101" i="2" s="1"/>
  <c r="H134" i="2" l="1"/>
  <c r="L134" i="2" s="1"/>
  <c r="L122" i="2"/>
  <c r="R31" i="2"/>
  <c r="W30" i="2"/>
  <c r="H123" i="2"/>
  <c r="L111" i="2"/>
  <c r="N113" i="2" s="1"/>
  <c r="S123" i="2"/>
  <c r="W111" i="2"/>
  <c r="Y113" i="2" s="1"/>
  <c r="W122" i="2"/>
  <c r="S134" i="2"/>
  <c r="W134" i="2" s="1"/>
  <c r="H135" i="2" l="1"/>
  <c r="L135" i="2" s="1"/>
  <c r="L123" i="2"/>
  <c r="N125" i="2" s="1"/>
  <c r="R32" i="2"/>
  <c r="W31" i="2"/>
  <c r="S135" i="2"/>
  <c r="W135" i="2" s="1"/>
  <c r="Y137" i="2" s="1"/>
  <c r="W123" i="2"/>
  <c r="Y125" i="2" s="1"/>
  <c r="R33" i="2" l="1"/>
  <c r="W32" i="2"/>
  <c r="L140" i="2"/>
  <c r="N137" i="2"/>
  <c r="R34" i="2" l="1"/>
  <c r="W33" i="2"/>
  <c r="R35" i="2" l="1"/>
  <c r="W34" i="2"/>
  <c r="R36" i="2" l="1"/>
  <c r="W35" i="2"/>
  <c r="R37" i="2" l="1"/>
  <c r="W36" i="2"/>
  <c r="R38" i="2" l="1"/>
  <c r="W37" i="2"/>
  <c r="R39" i="2" l="1"/>
  <c r="W38" i="2"/>
  <c r="R40" i="2" l="1"/>
  <c r="W39" i="2"/>
  <c r="R41" i="2" l="1"/>
  <c r="W40" i="2"/>
  <c r="R42" i="2" l="1"/>
  <c r="W41" i="2"/>
  <c r="Y41" i="2" s="1"/>
  <c r="R43" i="2" l="1"/>
  <c r="W42" i="2"/>
  <c r="R44" i="2" l="1"/>
  <c r="W43" i="2"/>
  <c r="R45" i="2" l="1"/>
  <c r="W44" i="2"/>
  <c r="R46" i="2" l="1"/>
  <c r="W45" i="2"/>
  <c r="R47" i="2" l="1"/>
  <c r="W46" i="2"/>
  <c r="R48" i="2" l="1"/>
  <c r="W47" i="2"/>
  <c r="R49" i="2" l="1"/>
  <c r="W48" i="2"/>
  <c r="R50" i="2" l="1"/>
  <c r="W49" i="2"/>
  <c r="R51" i="2" l="1"/>
  <c r="W50" i="2"/>
  <c r="R52" i="2" l="1"/>
  <c r="W51" i="2"/>
  <c r="R53" i="2" l="1"/>
  <c r="W52" i="2"/>
  <c r="R54" i="2" l="1"/>
  <c r="W53" i="2"/>
  <c r="Y53" i="2" s="1"/>
  <c r="R55" i="2" l="1"/>
  <c r="W54" i="2"/>
  <c r="R56" i="2" l="1"/>
  <c r="W55" i="2"/>
  <c r="R57" i="2" l="1"/>
  <c r="W56" i="2"/>
  <c r="R58" i="2" l="1"/>
  <c r="W57" i="2"/>
  <c r="R59" i="2" l="1"/>
  <c r="W58" i="2"/>
  <c r="R60" i="2" l="1"/>
  <c r="W59" i="2"/>
  <c r="R61" i="2" l="1"/>
  <c r="W60" i="2"/>
  <c r="R62" i="2" l="1"/>
  <c r="W61" i="2"/>
  <c r="R63" i="2" l="1"/>
  <c r="W62" i="2"/>
  <c r="R64" i="2" l="1"/>
  <c r="W63" i="2"/>
  <c r="R65" i="2" l="1"/>
  <c r="W64" i="2"/>
  <c r="R66" i="2" l="1"/>
  <c r="W65" i="2"/>
  <c r="Y65" i="2" s="1"/>
  <c r="R67" i="2" l="1"/>
  <c r="W66" i="2"/>
  <c r="R68" i="2" l="1"/>
  <c r="W67" i="2"/>
  <c r="R69" i="2" l="1"/>
  <c r="W68" i="2"/>
  <c r="R70" i="2" l="1"/>
  <c r="W69" i="2"/>
  <c r="R71" i="2" l="1"/>
  <c r="W70" i="2"/>
  <c r="R72" i="2" l="1"/>
  <c r="W71" i="2"/>
  <c r="R73" i="2" l="1"/>
  <c r="W72" i="2"/>
  <c r="R74" i="2" l="1"/>
  <c r="W73" i="2"/>
  <c r="R75" i="2" l="1"/>
  <c r="W74" i="2"/>
  <c r="R76" i="2" l="1"/>
  <c r="W75" i="2"/>
  <c r="R77" i="2" l="1"/>
  <c r="W76" i="2"/>
  <c r="R78" i="2" l="1"/>
  <c r="W77" i="2"/>
  <c r="Y77" i="2" s="1"/>
  <c r="R79" i="2" l="1"/>
  <c r="W78" i="2"/>
  <c r="R80" i="2" l="1"/>
  <c r="W79" i="2"/>
  <c r="R81" i="2" l="1"/>
  <c r="W80" i="2"/>
  <c r="R82" i="2" l="1"/>
  <c r="W81" i="2"/>
  <c r="R83" i="2" l="1"/>
  <c r="W82" i="2"/>
  <c r="R84" i="2" l="1"/>
  <c r="W83" i="2"/>
  <c r="R85" i="2" l="1"/>
  <c r="W84" i="2"/>
  <c r="R86" i="2" l="1"/>
  <c r="W85" i="2"/>
  <c r="R87" i="2" l="1"/>
  <c r="W86" i="2"/>
  <c r="R88" i="2" l="1"/>
  <c r="W88" i="2" s="1"/>
  <c r="W87" i="2"/>
  <c r="W139" i="2" l="1"/>
  <c r="Y89"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4">
    <bk>
      <extLst>
        <ext uri="{3e2802c4-a4d2-4d8b-9148-e3be6c30e623}">
          <xlrd:rvb i="2"/>
        </ext>
      </extLst>
    </bk>
    <bk>
      <extLst>
        <ext uri="{3e2802c4-a4d2-4d8b-9148-e3be6c30e623}">
          <xlrd:rvb i="5"/>
        </ext>
      </extLst>
    </bk>
    <bk>
      <extLst>
        <ext uri="{3e2802c4-a4d2-4d8b-9148-e3be6c30e623}">
          <xlrd:rvb i="8"/>
        </ext>
      </extLst>
    </bk>
    <bk>
      <extLst>
        <ext uri="{3e2802c4-a4d2-4d8b-9148-e3be6c30e623}">
          <xlrd:rvb i="11"/>
        </ext>
      </extLst>
    </bk>
    <bk>
      <extLst>
        <ext uri="{3e2802c4-a4d2-4d8b-9148-e3be6c30e623}">
          <xlrd:rvb i="14"/>
        </ext>
      </extLst>
    </bk>
    <bk>
      <extLst>
        <ext uri="{3e2802c4-a4d2-4d8b-9148-e3be6c30e623}">
          <xlrd:rvb i="17"/>
        </ext>
      </extLst>
    </bk>
    <bk>
      <extLst>
        <ext uri="{3e2802c4-a4d2-4d8b-9148-e3be6c30e623}">
          <xlrd:rvb i="19"/>
        </ext>
      </extLst>
    </bk>
    <bk>
      <extLst>
        <ext uri="{3e2802c4-a4d2-4d8b-9148-e3be6c30e623}">
          <xlrd:rvb i="22"/>
        </ext>
      </extLst>
    </bk>
    <bk>
      <extLst>
        <ext uri="{3e2802c4-a4d2-4d8b-9148-e3be6c30e623}">
          <xlrd:rvb i="25"/>
        </ext>
      </extLst>
    </bk>
    <bk>
      <extLst>
        <ext uri="{3e2802c4-a4d2-4d8b-9148-e3be6c30e623}">
          <xlrd:rvb i="28"/>
        </ext>
      </extLst>
    </bk>
    <bk>
      <extLst>
        <ext uri="{3e2802c4-a4d2-4d8b-9148-e3be6c30e623}">
          <xlrd:rvb i="31"/>
        </ext>
      </extLst>
    </bk>
    <bk>
      <extLst>
        <ext uri="{3e2802c4-a4d2-4d8b-9148-e3be6c30e623}">
          <xlrd:rvb i="34"/>
        </ext>
      </extLst>
    </bk>
    <bk>
      <extLst>
        <ext uri="{3e2802c4-a4d2-4d8b-9148-e3be6c30e623}">
          <xlrd:rvb i="37"/>
        </ext>
      </extLst>
    </bk>
    <bk>
      <extLst>
        <ext uri="{3e2802c4-a4d2-4d8b-9148-e3be6c30e623}">
          <xlrd:rvb i="40"/>
        </ext>
      </extLst>
    </bk>
  </futureMetadata>
  <futureMetadata name="XLDAPR" count="1">
    <bk>
      <extLst>
        <ext uri="{bdbb8cdc-fa1e-496e-a857-3c3f30c029c3}">
          <xda:dynamicArrayProperties fDynamic="1" fCollapsed="0"/>
        </ext>
      </extLst>
    </bk>
  </futureMetadata>
  <cellMetadata count="1">
    <bk>
      <rc t="2" v="0"/>
    </bk>
  </cell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<sst xmlns="http://schemas.openxmlformats.org/spreadsheetml/2006/main" count="254" uniqueCount="202">
  <si>
    <t>Matthew Olivo</t>
  </si>
  <si>
    <t>Personal Financial plan</t>
  </si>
  <si>
    <t>Part I</t>
  </si>
  <si>
    <t>Start</t>
  </si>
  <si>
    <t>Investments</t>
  </si>
  <si>
    <t>Necessary purchases</t>
  </si>
  <si>
    <t>Savings</t>
  </si>
  <si>
    <t>Take home</t>
  </si>
  <si>
    <t>Part II</t>
  </si>
  <si>
    <t>Annual Salary</t>
  </si>
  <si>
    <t>Monthly Pay</t>
  </si>
  <si>
    <t>If I have my own Place</t>
  </si>
  <si>
    <t>Rent</t>
  </si>
  <si>
    <t>Utilities</t>
  </si>
  <si>
    <t>Investement</t>
  </si>
  <si>
    <t>(Over the next 10 years)</t>
  </si>
  <si>
    <t>Necesseties</t>
  </si>
  <si>
    <t>Raise</t>
  </si>
  <si>
    <t>Rent goes up to $2250 starting 2030</t>
  </si>
  <si>
    <t>(Monthly rent Goess up $250 every 2 years</t>
  </si>
  <si>
    <t>Utilities are more during winter months</t>
  </si>
  <si>
    <t>Total savings</t>
  </si>
  <si>
    <t>If I move in with my brother</t>
  </si>
  <si>
    <t>2027 total</t>
  </si>
  <si>
    <t>2028 total</t>
  </si>
  <si>
    <t>2029 Total</t>
  </si>
  <si>
    <t>2030 total</t>
  </si>
  <si>
    <t>2031 total</t>
  </si>
  <si>
    <t>2032 Total</t>
  </si>
  <si>
    <t>2033 Total</t>
  </si>
  <si>
    <t>2034 total</t>
  </si>
  <si>
    <t>2035 total</t>
  </si>
  <si>
    <t>2036 total</t>
  </si>
  <si>
    <t>2037 total</t>
  </si>
  <si>
    <t>Part III</t>
  </si>
  <si>
    <t>401K</t>
  </si>
  <si>
    <t>At firm</t>
  </si>
  <si>
    <t>Starting Salary</t>
  </si>
  <si>
    <t>Starting Balance (will start working in summer of 2026)=</t>
  </si>
  <si>
    <t>Salary contribution (presumably 6%)</t>
  </si>
  <si>
    <t>Employer contribution (presumably half of salary contribution)</t>
  </si>
  <si>
    <t>Year 1</t>
  </si>
  <si>
    <t>Annual return (8%)</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</si>
  <si>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</si>
  <si>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</si>
  <si>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</si>
  <si>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</si>
  <si>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</si>
  <si>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</si>
  <si>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</si>
  <si>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</si>
  <si>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</si>
  <si>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</si>
  <si>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</si>
  <si>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</si>
  <si>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</si>
  <si>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</si>
  <si>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</si>
  <si>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</si>
  <si>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</si>
  <si>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</si>
  <si>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</si>
  <si>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</si>
  <si>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</si>
  <si>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</si>
  <si>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</si>
  <si>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</si>
  <si>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</si>
  <si>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</si>
  <si>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</si>
  <si>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</si>
  <si>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</si>
  <si>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At Store</t>
  </si>
  <si>
    <t>Starting Balance (after 10 years)</t>
  </si>
  <si>
    <t>Salary contribution (presumably 9%)</t>
  </si>
  <si>
    <t>Annual return (10%)</t>
  </si>
  <si>
    <t>High yield savings account</t>
  </si>
  <si>
    <t xml:space="preserve">Initial Deposit </t>
  </si>
  <si>
    <t>Rate(APY)</t>
  </si>
  <si>
    <t xml:space="preserve">Time to hold bond </t>
  </si>
  <si>
    <t>50 years</t>
  </si>
  <si>
    <t>after 1 year</t>
  </si>
  <si>
    <t>After 5 years</t>
  </si>
  <si>
    <t>After 10 years</t>
  </si>
  <si>
    <t>After 20 years</t>
  </si>
  <si>
    <t>After 30 years</t>
  </si>
  <si>
    <t>After 40 years</t>
  </si>
  <si>
    <t>After 50 years</t>
  </si>
  <si>
    <t>2nd deposit after 20 years</t>
  </si>
  <si>
    <t xml:space="preserve">Rate </t>
  </si>
  <si>
    <t>30 years</t>
  </si>
  <si>
    <t>after 5 years</t>
  </si>
  <si>
    <t xml:space="preserve">after 10 years </t>
  </si>
  <si>
    <t>after 20 years</t>
  </si>
  <si>
    <t>after 30 years</t>
  </si>
  <si>
    <t>Roth IRA (FV)</t>
  </si>
  <si>
    <t>Initial investment</t>
  </si>
  <si>
    <t>Rate presumably 8%</t>
  </si>
  <si>
    <t xml:space="preserve">Time </t>
  </si>
  <si>
    <t>50 Years</t>
  </si>
  <si>
    <t>After 1 year</t>
  </si>
  <si>
    <t>Second investment</t>
  </si>
  <si>
    <t>Rate</t>
  </si>
  <si>
    <t>Stocks</t>
  </si>
  <si>
    <t>NVDA</t>
  </si>
  <si>
    <t>GDX</t>
  </si>
  <si>
    <t>GLD</t>
  </si>
  <si>
    <t>PALL</t>
  </si>
  <si>
    <t>SLV</t>
  </si>
  <si>
    <t>SNDK</t>
  </si>
  <si>
    <t>SOXL</t>
  </si>
  <si>
    <t>TSLA</t>
  </si>
  <si>
    <t>TQQQ</t>
  </si>
  <si>
    <t>XLK</t>
  </si>
  <si>
    <t>V</t>
  </si>
  <si>
    <t>ABNB</t>
  </si>
  <si>
    <t>AGQ</t>
  </si>
  <si>
    <t>Current stock price</t>
  </si>
  <si>
    <t>PLTR</t>
  </si>
  <si>
    <t>Beta</t>
  </si>
  <si>
    <t>Risk-free</t>
  </si>
  <si>
    <t xml:space="preserve">Market Risk </t>
  </si>
  <si>
    <t>CAPM</t>
  </si>
  <si>
    <t>Stock Price 1 year</t>
  </si>
  <si>
    <t>Stock Price 2 years</t>
  </si>
  <si>
    <t>Stock Price 5 years</t>
  </si>
  <si>
    <t>Stock Price 10 years</t>
  </si>
  <si>
    <t>Stock Price  20 years</t>
  </si>
  <si>
    <t>Total returns</t>
  </si>
  <si>
    <t>Part IV</t>
  </si>
  <si>
    <t>FV</t>
  </si>
  <si>
    <t>Coupon rate 6%</t>
  </si>
  <si>
    <t>YTM</t>
  </si>
  <si>
    <t xml:space="preserve">Bond price </t>
  </si>
  <si>
    <t xml:space="preserve">Coupon </t>
  </si>
  <si>
    <t>Bonds(Annual) (20 years from now</t>
  </si>
  <si>
    <t>(Ideal)</t>
  </si>
  <si>
    <t>Years</t>
  </si>
  <si>
    <t>Real estate</t>
  </si>
  <si>
    <t>Mortgage</t>
  </si>
  <si>
    <t>House Price</t>
  </si>
  <si>
    <t>Down Payment Rate</t>
  </si>
  <si>
    <t xml:space="preserve">Down payment </t>
  </si>
  <si>
    <t>Loan</t>
  </si>
  <si>
    <t>Annual mortgage rate</t>
  </si>
  <si>
    <t>Loan term (years)</t>
  </si>
  <si>
    <t>Monthly mortgage payment</t>
  </si>
  <si>
    <t>Annual Property Tax (1.55%)</t>
  </si>
  <si>
    <t>Annual Insurance (0.22%)</t>
  </si>
  <si>
    <t>Renovation Budget</t>
  </si>
  <si>
    <t>Rent per unit</t>
  </si>
  <si>
    <t>Monthly Rent per unit 1</t>
  </si>
  <si>
    <t>Monthly Rent per unit 2</t>
  </si>
  <si>
    <t>Monthly Rent per unit 3</t>
  </si>
  <si>
    <t>Vacancy Rate</t>
  </si>
  <si>
    <t>Maintenace Rate</t>
  </si>
  <si>
    <t>Property Management rate</t>
  </si>
  <si>
    <t>Annual rent growth</t>
  </si>
  <si>
    <t>Home Value Growth</t>
  </si>
  <si>
    <t>Rent Unit 1</t>
  </si>
  <si>
    <t>Rent Unit 2</t>
  </si>
  <si>
    <t>Gross monthly rent</t>
  </si>
  <si>
    <t>Vacancy loss</t>
  </si>
  <si>
    <t>Maintenance</t>
  </si>
  <si>
    <t>Management</t>
  </si>
  <si>
    <t>Operating Income</t>
  </si>
  <si>
    <t>Monthly Tax</t>
  </si>
  <si>
    <t>Monthly Insurance</t>
  </si>
  <si>
    <t>Cash flow</t>
  </si>
  <si>
    <t>20 year projections</t>
  </si>
  <si>
    <t>Monthly Cash Flow</t>
  </si>
  <si>
    <t>Year</t>
  </si>
  <si>
    <t>Annual Gross Rent</t>
  </si>
  <si>
    <t>Operating Expenses</t>
  </si>
  <si>
    <t>Mortgage and Fixed Costs</t>
  </si>
  <si>
    <t>Net cash flow</t>
  </si>
  <si>
    <t>Property Value</t>
  </si>
  <si>
    <t>Monthly income</t>
  </si>
  <si>
    <t>Monthly costs</t>
  </si>
  <si>
    <t>Market rent saved</t>
  </si>
  <si>
    <t>Total Monthly rent</t>
  </si>
  <si>
    <t>Annual rent</t>
  </si>
  <si>
    <t>Vacancy+MGMT+Maintenace</t>
  </si>
  <si>
    <t>Property tax</t>
  </si>
  <si>
    <t>Insurance</t>
  </si>
  <si>
    <t>total expenses</t>
  </si>
  <si>
    <t>Net Profit</t>
  </si>
  <si>
    <t>Property Value growth</t>
  </si>
  <si>
    <t>Loan Balance</t>
  </si>
  <si>
    <t>Total Equity</t>
  </si>
  <si>
    <t>Total cash flow collected</t>
  </si>
  <si>
    <t>Total</t>
  </si>
  <si>
    <t>Business</t>
  </si>
  <si>
    <t>Salary</t>
  </si>
  <si>
    <t xml:space="preserve">try to invest in new store </t>
  </si>
  <si>
    <t>Savings (for family)</t>
  </si>
  <si>
    <t>Re-invest into business</t>
  </si>
  <si>
    <t>To Acquire new Business</t>
  </si>
  <si>
    <t>Note: ther will be 4-5 sources of income to re invest in business)</t>
  </si>
  <si>
    <t>(More than enough to acquire and do renovations and from there we start at 0)</t>
  </si>
  <si>
    <t xml:space="preserve"> </t>
  </si>
  <si>
    <t>Retirement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</si>
</sst>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_(&quot;$&quot;* #,##0_);_(&quot;$&quot;* \(#,##0\);_(&quot;$&quot;* &quot;-&quot;??_);_(@_)"/>
    <numFmt numFmtId="165" formatCode="_([$$-409]* #,##0.00_);_([$$-409]* \(#,##0.00\);_([$$-409]* &quot;-&quot;??_);_(@_)"/>
    <numFmt numFmtId="166" formatCode="0.0%"/>
    <numFmt numFmtId="167" formatCode="&quot;$&quot;#,##0.0_);[Red]\(&quot;$&quot;#,##0.0\)"/>
  </numFmts>
  <fonts count="5" x14ac:knownFonts="1">
    <font>
      <sz val="12"/>
      <color theme="1"/>
      <name val="Aptos Narrow"/>
      <family val="2"/>
      <scheme val="minor"/>
    </font>
    <font>
      <sz val="12"/>
      <color theme="1"/>
      <name val="Aptos Narrow"/>
      <family val="2"/>
      <scheme val="minor"/>
    </font>
    <font>
      <b/>
      <sz val="12"/>
      <color theme="1"/>
      <name val="Aptos Narrow"/>
      <scheme val="minor"/>
    </font>
    <font>
      <sz val="8"/>
      <name val="Aptos Narrow"/>
      <family val="2"/>
      <scheme val="minor"/>
    </font>
    <font>
      <sz val="12"/>
      <color theme="1"/>
      <name val="Aptos Narrow"/>
      <scheme val="minor"/>
    </font>
  </fonts>
  <fills count="4">
    <fill>
      <patternFill patternType="none"/>
    </fill>
    <fill>
      <patternFill patternType="gray125"/>
    </fill>
    <fill>
      <patternFill patternType="solid">
        <fgColor rgb="FFFFFF00"/>
        <bgColor indexed="64"/>
      </patternFill>
    </fill>
    <fill>
      <patternFill patternType="solid">
        <fgColor theme="9"/>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0" fontId="2" fillId="0" borderId="0" xfId="0" applyFont="1"/>
    <xf numFmtId="6" fontId="0" fillId="0" borderId="0" xfId="0" applyNumberFormat="1"/>
    <xf numFmtId="8" fontId="0" fillId="0" borderId="0" xfId="0" applyNumberFormat="1"/>
    <xf numFmtId="17" fontId="0" fillId="0" borderId="0" xfId="0" applyNumberFormat="1"/>
    <xf numFmtId="164" fontId="0" fillId="0" borderId="0" xfId="1" applyNumberFormat="1" applyFont="1"/>
    <xf numFmtId="0" fontId="2" fillId="2" borderId="0" xfId="0" applyFont="1" applyFill="1"/>
    <xf numFmtId="9" fontId="0" fillId="0" borderId="0" xfId="0" applyNumberFormat="1"/>
    <xf numFmtId="10" fontId="0" fillId="0" borderId="0" xfId="0" applyNumberFormat="1"/>
    <xf numFmtId="165" fontId="0" fillId="0" borderId="0" xfId="0" applyNumberFormat="1"/>
    <xf numFmtId="2" fontId="0" fillId="0" borderId="0" xfId="0" applyNumberFormat="1"/>
    <xf numFmtId="166" fontId="0" fillId="0" borderId="0" xfId="2" applyNumberFormat="1" applyFont="1"/>
    <xf numFmtId="44" fontId="0" fillId="0" borderId="0" xfId="1" applyFont="1"/>
    <xf numFmtId="10" fontId="0" fillId="0" borderId="0" xfId="2" applyNumberFormat="1" applyFont="1"/>
    <xf numFmtId="166" fontId="0" fillId="0" borderId="0" xfId="0" applyNumberFormat="1"/>
    <xf numFmtId="165" fontId="0" fillId="3" borderId="0" xfId="0" applyNumberFormat="1" applyFill="1"/>
    <xf numFmtId="167" fontId="0" fillId="0" borderId="0" xfId="0" applyNumberFormat="1"/>
    <xf numFmtId="44" fontId="0" fillId="0" borderId="0" xfId="0" applyNumberFormat="1"/>
    <xf numFmtId="0" fontId="0" fillId="0" borderId="0" xfId="2" applyNumberFormat="1" applyFont="1"/>
    <xf numFmtId="164" fontId="0" fillId="0" borderId="0" xfId="0" applyNumberFormat="1"/>
    <xf numFmtId="4" fontId="0" fillId="0" borderId="0" xfId="0" applyNumberFormat="1"/>
    <xf numFmtId="44" fontId="0" fillId="2" borderId="0" xfId="0" applyNumberFormat="1" applyFill="1"/>
    <xf numFmtId="0" fontId="4" fillId="0" borderId="0" xfId="0" applyFo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SupportingPropertyBagStructure" Target="richData/rdsupportingpropertybagstructure.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ichStyles" Target="richData/richStyles.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Structure" Target="richData/rdrichvaluestructure.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06/relationships/rdSupportingPropertyBag" Target="richData/rdsupportingpropertybag.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41">
  <rv s="0">
    <v>https://www.bing.com/financeapi/forcetrigger?t=a1yv52&amp;q=XNAS%3aNVDA&amp;form=skydnc</v>
    <v>Learn more on Bing</v>
  </rv>
  <rv s="1">
    <v>0</v>
    <v>NVIDIA CORPORATION (XNAS:NVDA)</v>
    <v>2</v>
    <v>3</v>
    <v>Finance</v>
    <v>4</v>
    <v>en-US</v>
    <v>a1yv52</v>
    <v>268435456</v>
    <v>1</v>
    <v>Powered by Refinitiv</v>
    <v>212.18989999999999</v>
    <v>86.62</v>
    <v>2.3130999999999999</v>
    <v>-0.57999999999999996</v>
    <v>-3.1259999999999999E-3</v>
    <v>-0.25</v>
    <v>-1.3519999999999999E-3</v>
    <v>USD</v>
    <v>NVIDIA Corporation is a full-stack computing infrastructure company. The Company is engaged in accelerated computing to help solve the challenging computational problems. The Company’s segments include Compute &amp; Networking and Graphics. The Compute &amp; Networking segment includes its Data Center accelerated computing platforms and artificial intelligence (AI) solutions and software; networking; automotive platforms and autonomous and electric vehicle solutions; Jetson for robotics and other embedded platforms, and DGX Cloud computing services. The Graphics segment includes GeForce GPUs for gaming and PCs, the GeForce NOW game streaming service and related infrastructure, and solutions for gaming platforms; Quadro/NVIDIA RTX GPUs for enterprise workstation graphics; virtual GPU software for cloud-based visual and virtual computing; automotive platforms for infotainment systems, and Omniverse Enterprise software for building and operating industrial AI and digital twin applications.</v>
    <v>36000</v>
    <v>Nasdaq Stock Market</v>
    <v>XNAS</v>
    <v>XNAS</v>
    <v>2788 San Tomas Expressway, SANTA CLARA, CA, 95051 US</v>
    <v>185.7167</v>
    <v>Semiconductors &amp; Semiconductor Equipment</v>
    <v>Stock</v>
    <v>46000.893883414064</v>
    <v>0</v>
    <v>183.32</v>
    <v>4494771000000</v>
    <v>NVIDIA CORPORATION</v>
    <v>NVIDIA CORPORATION</v>
    <v>185.56</v>
    <v>45.813000000000002</v>
    <v>185.55</v>
    <v>184.97</v>
    <v>184.72</v>
    <v>24300000000</v>
    <v>NVDA</v>
    <v>NVIDIA CORPORATION (XNAS:NVDA)</v>
    <v>142356078</v>
    <v>208470538</v>
    <v>1998</v>
  </rv>
  <rv s="2">
    <v>1</v>
  </rv>
  <rv s="0">
    <v>https://www.bing.com/financeapi/forcetrigger?t=bvsk7w&amp;q=XNYS%3aPLTR&amp;form=skydnc</v>
    <v>Learn more on Bing</v>
  </rv>
  <rv s="1">
    <v>0</v>
    <v>PALANTIR TECHNOLOGIES INC. (XNAS:PLTR)</v>
    <v>2</v>
    <v>3</v>
    <v>Finance</v>
    <v>4</v>
    <v>en-US</v>
    <v>bvsk7w</v>
    <v>268435456</v>
    <v>1</v>
    <v>Powered by Refinitiv</v>
    <v>207.52</v>
    <v>63.4</v>
    <v>1.5423</v>
    <v>0.35</v>
    <v>1.928E-3</v>
    <v>0.02</v>
    <v>1.0999999999999999E-4</v>
    <v>USD</v>
    <v>Palantir Technologies Inc. is engaged in building software to assist in counterterrorism investigations and operations. The Company has built four principal software platforms, including Palantir Gotham (Gotham), Palantir Foundry (Foundry), Palantir Apollo (Apollo), and Palantir Artificial Intelligence Platform (AIP). Apollo is a cloud-agnostic, single control layer that coordinates ongoing delivery of new features, security updates, and platform configurations, helping to ensure the continuous operation of critical systems. Gotham enables users to identify patterns hidden deep within datasets, ranging from signals intelligence sources to reports from confidential informants. Foundry transforms the ways organizations operate by creating a central operating system for their data. AIP enables responsible artificial intelligence (AI)-advantage across the enterprise by using primary, core components built to effectively activate large language models and other AI within any organization.</v>
    <v>4414</v>
    <v>Nasdaq Stock Market</v>
    <v>XNAS</v>
    <v>XNAS</v>
    <v>1200 17Th Street, Floor 15, DENVER, CO, 80202 US</v>
    <v>182.84989999999999</v>
    <v>Software &amp; IT Services</v>
    <v>Stock</v>
    <v>46000.893823263279</v>
    <v>3</v>
    <v>180.38</v>
    <v>433221253040</v>
    <v>PALANTIR TECHNOLOGIES INC.</v>
    <v>PALANTIR TECHNOLOGIES INC.</v>
    <v>180.97</v>
    <v>425.25720000000001</v>
    <v>181.49</v>
    <v>181.84</v>
    <v>181.86</v>
    <v>2382431000</v>
    <v>PLTR</v>
    <v>PALANTIR TECHNOLOGIES INC. (XNAS:PLTR)</v>
    <v>18669072</v>
    <v>55251819</v>
    <v>2003</v>
  </rv>
  <rv s="2">
    <v>4</v>
  </rv>
  <rv s="0">
    <v>https://www.bing.com/financeapi/forcetrigger?t=a1tqp2&amp;q=ARCX%3aGDX&amp;form=skydnc</v>
    <v>Learn more on Bing</v>
  </rv>
  <rv s="3">
    <v>5</v>
    <v>VanEck:Gold Miners (ARCX:GDX)</v>
    <v>6</v>
    <v>7</v>
    <v>Finance</v>
    <v>8</v>
    <v>en-US</v>
    <v>a1tqp2</v>
    <v>268435456</v>
    <v>1</v>
    <v>Powered by Refinitiv</v>
    <v>85.084999999999994</v>
    <v>33.42</v>
    <v>0.94540000000000002</v>
    <v>2.76</v>
    <v>3.4866000000000001E-2</v>
    <v>-6.5000000000000002E-2</v>
    <v>-7.9329999999999993E-4</v>
    <v>USD</v>
    <v>NYSE Arca</v>
    <v>ARCX</v>
    <v>5.1000000000000004E-3</v>
    <v>82.07</v>
    <v>ETF</v>
    <v>46000.892662082813</v>
    <v>6</v>
    <v>79.290000000000006</v>
    <v>24371933660.580002</v>
    <v>VanEck:Gold Miners</v>
    <v>79.295000000000002</v>
    <v>79.16</v>
    <v>81.92</v>
    <v>81.875</v>
    <v>GDX</v>
    <v>VanEck:Gold Miners (ARCX:GDX)</v>
    <v>19137149</v>
    <v>23170408</v>
  </rv>
  <rv s="2">
    <v>7</v>
  </rv>
  <rv s="0">
    <v>https://www.bing.com/financeapi/forcetrigger?t=a1twnm&amp;q=ARCX%3aGLD&amp;form=skydnc</v>
    <v>Learn more on Bing</v>
  </rv>
  <rv s="3">
    <v>5</v>
    <v>SPDR Gold (ARCX:GLD)</v>
    <v>6</v>
    <v>7</v>
    <v>Finance</v>
    <v>8</v>
    <v>en-US</v>
    <v>a1twnm</v>
    <v>268435456</v>
    <v>1</v>
    <v>Powered by Refinitiv</v>
    <v>403.3</v>
    <v>238.73</v>
    <v>0.82979999999999998</v>
    <v>1.97</v>
    <v>5.1110000000000001E-3</v>
    <v>-0.19</v>
    <v>-4.9039999999999999E-4</v>
    <v>USD</v>
    <v>NYSE Arca</v>
    <v>ARCX</v>
    <v>4.0000000000000001E-3</v>
    <v>388.21</v>
    <v>ETF</v>
    <v>46000.893884363279</v>
    <v>9</v>
    <v>385.27</v>
    <v>140823605262.75</v>
    <v>SPDR Gold</v>
    <v>385.62</v>
    <v>385.42</v>
    <v>387.39</v>
    <v>387.21</v>
    <v>GLD</v>
    <v>SPDR Gold (ARCX:GLD)</v>
    <v>6007930</v>
    <v>10089005</v>
  </rv>
  <rv s="2">
    <v>10</v>
  </rv>
  <rv s="0">
    <v>https://www.bing.com/financeapi/forcetrigger?t=a1zgdm&amp;q=ARCX%3aPALL&amp;form=skydnc</v>
    <v>Learn more on Bing</v>
  </rv>
  <rv s="3">
    <v>5</v>
    <v>abrdn:Physical Palladium (ARCX:PALL)</v>
    <v>6</v>
    <v>7</v>
    <v>Finance</v>
    <v>8</v>
    <v>en-US</v>
    <v>a1zgdm</v>
    <v>268435456</v>
    <v>1</v>
    <v>Powered by Refinitiv</v>
    <v>148.49</v>
    <v>82.39</v>
    <v>0.34520000000000001</v>
    <v>3.55</v>
    <v>2.6507999999999997E-2</v>
    <v>0.29339999999999999</v>
    <v>2.1360000000000003E-3</v>
    <v>USD</v>
    <v>NYSE Arca</v>
    <v>ARCX</v>
    <v>6.0000000000000001E-3</v>
    <v>137.68</v>
    <v>ETF</v>
    <v>46000.893145185153</v>
    <v>12</v>
    <v>132.928</v>
    <v>852073292.32000005</v>
    <v>abrdn:Physical Palladium</v>
    <v>134.15</v>
    <v>133.91999999999999</v>
    <v>137.47</v>
    <v>137.68340000000001</v>
    <v>PALL</v>
    <v>abrdn:Physical Palladium (ARCX:PALL)</v>
    <v>634691</v>
    <v>287190</v>
  </rv>
  <rv s="2">
    <v>13</v>
  </rv>
  <rv s="0">
    <v>https://www.bing.com/financeapi/forcetrigger?t=a233ur&amp;q=ARCX%3aSLV&amp;form=skydnc</v>
    <v>Learn more on Bing</v>
  </rv>
  <rv s="3">
    <v>5</v>
    <v>IShares:Silver Trust (ARCX:SLV)</v>
    <v>6</v>
    <v>7</v>
    <v>Finance</v>
    <v>8</v>
    <v>en-US</v>
    <v>a233ur</v>
    <v>268435456</v>
    <v>1</v>
    <v>Powered by Refinitiv</v>
    <v>55.185000000000002</v>
    <v>26.19</v>
    <v>1.4114</v>
    <v>2.4550000000000001</v>
    <v>4.6576000000000006E-2</v>
    <v>-0.05</v>
    <v>-9.0630000000000007E-4</v>
    <v>USD</v>
    <v>NYSE Arca</v>
    <v>ARCX</v>
    <v>5.0000000000000001E-3</v>
    <v>55.185000000000002</v>
    <v>ETF</v>
    <v>46000.893908691403</v>
    <v>15</v>
    <v>53.36</v>
    <v>27047493981.68</v>
    <v>IShares:Silver Trust</v>
    <v>53.39</v>
    <v>52.71</v>
    <v>55.164999999999999</v>
    <v>55.12</v>
    <v>SLV</v>
    <v>IShares:Silver Trust (ARCX:SLV)</v>
    <v>58999523</v>
    <v>30218831</v>
  </rv>
  <rv s="2">
    <v>16</v>
  </rv>
  <rv s="4">
    <v>9</v>
    <v>SANDISK CORPORATION (XNAS:SNDK)</v>
    <v>10</v>
    <v>3</v>
    <v>Finance</v>
    <v>4</v>
    <v>en-US</v>
    <v>cfwqww</v>
    <v>268435456</v>
    <v>1</v>
    <v>Powered by Refinitiv</v>
    <v>284.75990000000002</v>
    <v>27.885000000000002</v>
    <v>2.544</v>
    <v>-6.01</v>
    <v>-2.6655000000000002E-2</v>
    <v>0</v>
    <v>0</v>
    <v>USD</v>
    <v>SanDisk Corporation is a developer, manufacturer and provider of data storage devices and solutions based on NAND flash technology and has consumer brands and franchises globally. The Company's solutions include a range of solid state drives (SSDs) embedded products, removable cards, universal serial bus (USB) drives, and wafers and components. Its broad portfolio of technology and products addresses multiple end markets of cloud, client and consumer. Its cloud end market is comprised primarily of products for public or private cloud environments and enterprise customers. The Company, through the client end market, provides numerous data solutions that it incorporates into its client’s devices, which consist of solid state drive desktop and notebook personal computers, gaming consoles and set top boxes, and flash-based embedded storage products. The Company serves the consumer end market with a portfolio of solid state drives and removable flash, including cards and USB flash drives.</v>
    <v>11000</v>
    <v>Nasdaq Stock Market</v>
    <v>XNAS</v>
    <v>XNAS</v>
    <v>951 Sandisk Drive, MILPITAS, CA, 95035 US</v>
    <v>224.33019999999999</v>
    <v>Computers, Phones &amp; Household Electronics</v>
    <v>Stock</v>
    <v>46000.893758680468</v>
    <v>213.5</v>
    <v>32162565272</v>
    <v>SANDISK CORPORATION</v>
    <v>SANDISK CORPORATION</v>
    <v>222.27</v>
    <v>0</v>
    <v>225.47</v>
    <v>219.46</v>
    <v>219.46</v>
    <v>146553200</v>
    <v>SNDK</v>
    <v>SANDISK CORPORATION (XNAS:SNDK)</v>
    <v>5882344</v>
    <v>15214740</v>
    <v>2024</v>
  </rv>
  <rv s="2">
    <v>18</v>
  </rv>
  <rv s="0">
    <v>https://www.bing.com/financeapi/forcetrigger?t=a23brw&amp;q=ARCX%3aSOXL&amp;form=skydnc</v>
    <v>Learn more on Bing</v>
  </rv>
  <rv s="3">
    <v>5</v>
    <v>Direxion:Semicnd Bull 3X (ARCX:SOXL)</v>
    <v>6</v>
    <v>7</v>
    <v>Finance</v>
    <v>8</v>
    <v>en-US</v>
    <v>a23brw</v>
    <v>268435456</v>
    <v>1</v>
    <v>Powered by Refinitiv</v>
    <v>50.76</v>
    <v>7.2249999999999996</v>
    <v>4.4264000000000001</v>
    <v>-0.22</v>
    <v>-4.5839999999999995E-3</v>
    <v>-0.14000000000000001</v>
    <v>-2.9289999999999997E-3</v>
    <v>USD</v>
    <v>NYSE Arca</v>
    <v>ARCX</v>
    <v>7.4999999999999997E-3</v>
    <v>48.045000000000002</v>
    <v>ETF</v>
    <v>46000.893911562503</v>
    <v>20</v>
    <v>46.47</v>
    <v>13616153648.65</v>
    <v>Direxion:Semicnd Bull 3X</v>
    <v>47.04</v>
    <v>47.99</v>
    <v>47.77</v>
    <v>47.65</v>
    <v>SOXL</v>
    <v>Direxion:Semicnd Bull 3X (ARCX:SOXL)</v>
    <v>55766188</v>
    <v>105967739</v>
  </rv>
  <rv s="2">
    <v>21</v>
  </rv>
  <rv s="0">
    <v>https://www.bing.com/financeapi/forcetrigger?t=a24kar&amp;q=XNAS%3aTSLA&amp;form=skydnc</v>
    <v>Learn more on Bing</v>
  </rv>
  <rv s="1">
    <v>0</v>
    <v>TESLA, INC. (XNAS:TSLA)</v>
    <v>2</v>
    <v>3</v>
    <v>Finance</v>
    <v>4</v>
    <v>en-US</v>
    <v>a24kar</v>
    <v>268435456</v>
    <v>1</v>
    <v>Powered by Refinitiv</v>
    <v>488.53989999999999</v>
    <v>214.25</v>
    <v>1.8369</v>
    <v>5.6833</v>
    <v>1.2929E-2</v>
    <v>-0.24</v>
    <v>-5.3910000000000004E-4</v>
    <v>USD</v>
    <v>Tesla, Inc. designs, develops, manufactures, sells and leases high-performance fully electric vehicles and energy generation and storage systems, and offers services related to its products. Its segments include automotive, and energy generation and storage. The automotive segment includes the design, development, manufacturing, sales and leasing of high-performance fully electric vehicles, and sales of automotive regulatory credits. It also includes sales of used vehicles, non-warranty maintenance services and collisions, part sales, paid supercharging, insurance services revenue and retail merchandise sales. The energy generation and storage segment include the design, manufacture, installation, sales and leasing of solar energy generation and energy storage products and related services and sales of solar energy systems incentives. Its consumer vehicles include the Model 3, Y, S, X and Cybertruck. Its lithium-ion battery energy storage products include Powerwall and Megapack.</v>
    <v>125665</v>
    <v>Nasdaq Stock Market</v>
    <v>XNAS</v>
    <v>XNAS</v>
    <v>1 Tesla Road, AUSTIN, TX, 78725 US</v>
    <v>452.39</v>
    <v>Automobiles &amp; Auto Parts</v>
    <v>Stock</v>
    <v>46000.893920867966</v>
    <v>23</v>
    <v>435.7</v>
    <v>1480865143142</v>
    <v>TESLA, INC.</v>
    <v>TESLA, INC.</v>
    <v>437.54</v>
    <v>308.71749999999997</v>
    <v>439.58</v>
    <v>445.26330000000002</v>
    <v>444.93</v>
    <v>3325819000</v>
    <v>TSLA</v>
    <v>TESLA, INC. (XNAS:TSLA)</v>
    <v>62008594</v>
    <v>81608700</v>
    <v>2024</v>
  </rv>
  <rv s="2">
    <v>24</v>
  </rv>
  <rv s="0">
    <v>https://www.bing.com/financeapi/forcetrigger?t=a24g52&amp;q=XNAS%3aTQQQ&amp;form=skydnc</v>
    <v>Learn more on Bing</v>
  </rv>
  <rv s="3">
    <v>5</v>
    <v>ProShares:UltP QQQ (XNAS:TQQQ)</v>
    <v>6</v>
    <v>7</v>
    <v>Finance</v>
    <v>8</v>
    <v>en-US</v>
    <v>a24g52</v>
    <v>268435456</v>
    <v>1</v>
    <v>Powered by Refinitiv</v>
    <v>60.685000000000002</v>
    <v>17.5</v>
    <v>3.1355</v>
    <v>0.21</v>
    <v>3.7630000000000003E-3</v>
    <v>-0.14050000000000001</v>
    <v>-2.5080000000000002E-3</v>
    <v>USD</v>
    <v>Nasdaq Stock Market</v>
    <v>XNAS</v>
    <v>8.199999999999999E-3</v>
    <v>56.22</v>
    <v>ETF</v>
    <v>46000.893825925785</v>
    <v>26</v>
    <v>55.09</v>
    <v>30895594201.77</v>
    <v>ProShares:UltP QQQ</v>
    <v>55.45</v>
    <v>55.8</v>
    <v>56.01</v>
    <v>55.869500000000002</v>
    <v>TQQQ</v>
    <v>ProShares:UltP QQQ (XNAS:TQQQ)</v>
    <v>47992267</v>
    <v>126166329</v>
  </rv>
  <rv s="2">
    <v>27</v>
  </rv>
  <rv s="0">
    <v>https://www.bing.com/financeapi/forcetrigger?t=a267zr&amp;q=ARCX%3aXLK&amp;form=skydnc</v>
    <v>Learn more on Bing</v>
  </rv>
  <rv s="3">
    <v>5</v>
    <v>Sel Sector:Tech SPDR (ARCX:XLK)</v>
    <v>6</v>
    <v>7</v>
    <v>Finance</v>
    <v>8</v>
    <v>en-US</v>
    <v>a267zr</v>
    <v>268435456</v>
    <v>1</v>
    <v>Powered by Refinitiv</v>
    <v>152.995</v>
    <v>86.224999999999994</v>
    <v>0.9748</v>
    <v>0.41</v>
    <v>2.777E-3</v>
    <v>-0.14000000000000001</v>
    <v>-9.458E-4</v>
    <v>USD</v>
    <v>NYSE Arca</v>
    <v>ARCX</v>
    <v>8.0000000000000004E-4</v>
    <v>148.25</v>
    <v>ETF</v>
    <v>46000.890158228904</v>
    <v>29</v>
    <v>146.96</v>
    <v>93463550336.529999</v>
    <v>Sel Sector:Tech SPDR</v>
    <v>147.33500000000001</v>
    <v>147.63</v>
    <v>148.04</v>
    <v>147.88</v>
    <v>XLK</v>
    <v>Sel Sector:Tech SPDR (ARCX:XLK)</v>
    <v>6936382</v>
    <v>20356686</v>
  </rv>
  <rv s="2">
    <v>30</v>
  </rv>
  <rv s="0">
    <v>https://www.bing.com/financeapi/forcetrigger?t=a256cw&amp;q=XNYS%3aV&amp;form=skydnc</v>
    <v>Learn more on Bing</v>
  </rv>
  <rv s="1">
    <v>0</v>
    <v>VISA INC. (XNYS:V)</v>
    <v>2</v>
    <v>3</v>
    <v>Finance</v>
    <v>4</v>
    <v>en-US</v>
    <v>a256cw</v>
    <v>268435456</v>
    <v>1</v>
    <v>Powered by Refinitiv</v>
    <v>375.51</v>
    <v>299</v>
    <v>0.82179999999999997</v>
    <v>-0.28000000000000003</v>
    <v>-8.5669999999999995E-4</v>
    <v>0.12720000000000001</v>
    <v>3.8960000000000004E-4</v>
    <v>USD</v>
    <v>Visa Inc. is a global payments technology company. It facilitates global commerce and money movement across more than 200 countries and territories among a global set of consumers, merchants, financial institutions and government entities through technologies. It operates through the Payment Services segment. It provides transaction processing services (primarily authorization, clearing and settlement) to its financial institution and merchant clients through VisaNet, its proprietary advanced transaction processing network. It offers a range of Visa-branded payment products that its clients, including nearly 14,500 financial institutions, use to develop and offer payment solutions or services, including credit, debit, prepaid and cash access programs for individual, business and government account holders. It also provides value-added services to its clients, including issuing solutions, acceptance solutions, risk and identity solutions, open banking solutions and advisory services.</v>
    <v>34100</v>
    <v>New York Stock Exchange</v>
    <v>XNYS</v>
    <v>XNYS</v>
    <v>P.O. Box 8999, SAN FRANCISCO, CA, 94128-8999 US</v>
    <v>328.22539999999998</v>
    <v>Professional &amp; Commercial Services</v>
    <v>Stock</v>
    <v>46000.893793378906</v>
    <v>32</v>
    <v>325.07</v>
    <v>625066863200</v>
    <v>VISA INC.</v>
    <v>VISA INC.</v>
    <v>326.61</v>
    <v>31.9937</v>
    <v>326.83999999999997</v>
    <v>326.56</v>
    <v>326.62720000000002</v>
    <v>1914095000</v>
    <v>V</v>
    <v>VISA INC. (XNYS:V)</v>
    <v>4313940</v>
    <v>6369442</v>
    <v>2007</v>
  </rv>
  <rv s="2">
    <v>33</v>
  </rv>
  <rv s="0">
    <v>https://www.bing.com/financeapi/forcetrigger?t=bwvem7&amp;q=XNAS%3aABNB&amp;form=skydnc</v>
    <v>Learn more on Bing</v>
  </rv>
  <rv s="1">
    <v>0</v>
    <v>AIRBNB, INC. (XNAS:ABNB)</v>
    <v>2</v>
    <v>3</v>
    <v>Finance</v>
    <v>4</v>
    <v>en-US</v>
    <v>bwvem7</v>
    <v>268435456</v>
    <v>1</v>
    <v>Powered by Refinitiv</v>
    <v>163.93</v>
    <v>99.88</v>
    <v>1.1123000000000001</v>
    <v>3.38</v>
    <v>2.7703000000000002E-2</v>
    <v>0.05</v>
    <v>3.9879999999999999E-4</v>
    <v>USD</v>
    <v>Airbnb, Inc. operates a global platform for stays and experiences. The Company’s marketplace model connects hosts and guests online or through mobile devices to book spaces and experiences around the world. The Company has built its platform to onboard new hosts, especially those who previously had not considered hosting. It partners with hosts throughout the process of setting up their listing and provides them with a suite of tools to manage their listings, including scheduling, merchandising, integrated payments, community support, host protection, pricing guidance, and feedback from reviews. Its Website and mobile applications provide its guests with a way to explore a variety of homes and experiences and an easy way to book them. Its technology platform powers its two-sided marketplace and enables its global network of hosts and guests. It owns a trademark portfolio with protection in 220 countries in which it operates for its primary brands, AIRBNB, and its Belo logo.</v>
    <v>7300</v>
    <v>Nasdaq Stock Market</v>
    <v>XNAS</v>
    <v>XNAS</v>
    <v>888 Brannan St., SAN FRANCISCO, CA, 94103 US</v>
    <v>125.81</v>
    <v>Software &amp; IT Services</v>
    <v>Stock</v>
    <v>46000.893699328124</v>
    <v>35</v>
    <v>121.1538</v>
    <v>76030188883</v>
    <v>AIRBNB, INC.</v>
    <v>AIRBNB, INC.</v>
    <v>121.61</v>
    <v>29.785299999999999</v>
    <v>122.01</v>
    <v>125.39</v>
    <v>125.44</v>
    <v>606349700</v>
    <v>ABNB</v>
    <v>AIRBNB, INC. (XNAS:ABNB)</v>
    <v>3581260</v>
    <v>5589164</v>
    <v>2008</v>
  </rv>
  <rv s="2">
    <v>36</v>
  </rv>
  <rv s="0">
    <v>https://www.bing.com/financeapi/forcetrigger?t=a1n3vh&amp;q=ARCX%3aAGQ&amp;form=skydnc</v>
    <v>Learn more on Bing</v>
  </rv>
  <rv s="3">
    <v>5</v>
    <v>ProShs II:Ult Silver (ARCX:AGQ)</v>
    <v>6</v>
    <v>7</v>
    <v>Finance</v>
    <v>8</v>
    <v>en-US</v>
    <v>a1n3vh</v>
    <v>268435456</v>
    <v>1</v>
    <v>Powered by Refinitiv</v>
    <v>122.77</v>
    <v>31.88</v>
    <v>3.0013000000000001</v>
    <v>10.74</v>
    <v>9.5892999999999992E-2</v>
    <v>-2.1000000000000001E-2</v>
    <v>-1.7110000000000001E-4</v>
    <v>USD</v>
    <v>NYSE Arca</v>
    <v>ARCX</v>
    <v>9.7999999999999997E-3</v>
    <v>122.77</v>
    <v>ETF</v>
    <v>46000.893873101566</v>
    <v>38</v>
    <v>115.41</v>
    <v>1410170753.54</v>
    <v>ProShs II:Ult Silver</v>
    <v>115.52</v>
    <v>112</v>
    <v>122.74</v>
    <v>122.679</v>
    <v>AGQ</v>
    <v>ProShs II:Ult Silver (ARCX:AGQ)</v>
    <v>4609404</v>
    <v>2424921</v>
  </rv>
  <rv s="2">
    <v>39</v>
  </rv>
</rvData>
</file>

<file path=xl/richData/rdrichvaluestructure.xml><?xml version="1.0" encoding="utf-8"?>
<rvStructures xmlns="http://schemas.microsoft.com/office/spreadsheetml/2017/richdata" count="5">
  <s t="_hyperlink">
    <k n="Address" t="s"/>
    <k n="Text" t="s"/>
  </s>
  <s t="_linkedentitycore">
    <k n="_Display" t="spb"/>
    <k n="_DisplayString" t="s"/>
    <k n="_Flags" t="spb"/>
    <k n="_Format" t="spb"/>
    <k n="_Icon" t="s"/>
    <k n="_SubLabel" t="spb"/>
    <k n="%EntityCulture" t="s"/>
    <k n="%EntityId" t="s"/>
    <k n="%EntityServiceId"/>
    <k n="%IsRefreshable" t="b"/>
    <k n="%ProviderInfo" t="s"/>
    <k n="52 week high"/>
    <k n="52 week low"/>
    <k n="Beta"/>
    <k n="Change"/>
    <k n="Change (%)"/>
    <k n="Change (Extended hours)"/>
    <k n="Change % (Extended hours)"/>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Price (Extended hours)"/>
    <k n="Shares outstanding"/>
    <k n="Ticker symbol" t="s"/>
    <k n="UniqueName" t="s"/>
    <k n="Volume"/>
    <k n="Volume average"/>
    <k n="Year incorporated"/>
  </s>
  <s t="_linkedentity">
    <k n="%cvi" t="r"/>
  </s>
  <s t="_linkedentitycore">
    <k n="_Display" t="spb"/>
    <k n="_DisplayString" t="s"/>
    <k n="_Flags" t="spb"/>
    <k n="_Format" t="spb"/>
    <k n="_Icon" t="s"/>
    <k n="_SubLabel" t="spb"/>
    <k n="%EntityCulture" t="s"/>
    <k n="%EntityId" t="s"/>
    <k n="%EntityServiceId"/>
    <k n="%IsRefreshable" t="b"/>
    <k n="%ProviderInfo" t="s"/>
    <k n="52 week high"/>
    <k n="52 week low"/>
    <k n="Beta"/>
    <k n="Change"/>
    <k n="Change (%)"/>
    <k n="Change (Extended hours)"/>
    <k n="Change % (Extended hours)"/>
    <k n="Currency" t="s"/>
    <k n="Exchange" t="s"/>
    <k n="Exchange abbreviation" t="s"/>
    <k n="Expense ratio"/>
    <k n="High"/>
    <k n="Instrument type" t="s"/>
    <k n="Last trade time"/>
    <k n="LearnMoreOnLink" t="r"/>
    <k n="Low"/>
    <k n="Market cap"/>
    <k n="Name" t="s"/>
    <k n="Open"/>
    <k n="Previous close"/>
    <k n="Price"/>
    <k n="Price (Extended hours)"/>
    <k n="Ticker symbol" t="s"/>
    <k n="UniqueName" t="s"/>
    <k n="Volume"/>
    <k n="Volume average"/>
  </s>
  <s t="_linkedentitycore">
    <k n="_Display" t="spb"/>
    <k n="_DisplayString" t="s"/>
    <k n="_Flags" t="spb"/>
    <k n="_Format" t="spb"/>
    <k n="_Icon" t="s"/>
    <k n="_SubLabel" t="spb"/>
    <k n="%EntityCulture" t="s"/>
    <k n="%EntityId" t="s"/>
    <k n="%EntityServiceId"/>
    <k n="%IsRefreshable" t="b"/>
    <k n="%ProviderInfo" t="s"/>
    <k n="52 week high"/>
    <k n="52 week low"/>
    <k n="Beta"/>
    <k n="Change"/>
    <k n="Change (%)"/>
    <k n="Change (Extended hours)"/>
    <k n="Change % (Extended hours)"/>
    <k n="Currency" t="s"/>
    <k n="Description" t="s"/>
    <k n="Employees"/>
    <k n="Exchange" t="s"/>
    <k n="Exchange abbreviation" t="s"/>
    <k n="ExchangeID" t="s"/>
    <k n="Headquarters" t="s"/>
    <k n="High"/>
    <k n="Industry" t="s"/>
    <k n="Instrument type" t="s"/>
    <k n="Last trade time"/>
    <k n="Low"/>
    <k n="Market cap"/>
    <k n="Name" t="s"/>
    <k n="Official name" t="s"/>
    <k n="Open"/>
    <k n="P/E"/>
    <k n="Previous close"/>
    <k n="Price"/>
    <k n="Price (Extended hours)"/>
    <k n="Shares outstanding"/>
    <k n="Ticker symbol" t="s"/>
    <k n="UniqueName" t="s"/>
    <k n="Volume"/>
    <k n="Volume average"/>
    <k n="Year incorporated"/>
  </s>
</rvStructures>
</file>

<file path=xl/richData/rdsupportingpropertybag.xml><?xml version="1.0" encoding="utf-8"?>
<supportingPropertyBags xmlns="http://schemas.microsoft.com/office/spreadsheetml/2017/richdata2">
  <spbArrays count="3">
    <a count="45">
      <v t="s">%EntityServiceId</v>
      <v t="s">_Format</v>
      <v t="s">%IsRefreshable</v>
      <v t="s">%EntityCulture</v>
      <v t="s">%EntityId</v>
      <v t="s">_Icon</v>
      <v t="s">_Display</v>
      <v t="s">Name</v>
      <v t="s">_SubLabel</v>
      <v t="s">Price</v>
      <v t="s">Price (Extended hours)</v>
      <v t="s">Exchange</v>
      <v t="s">Official name</v>
      <v t="s">Last trade time</v>
      <v t="s">Ticker symbol</v>
      <v t="s">Exchange abbreviation</v>
      <v t="s">Change</v>
      <v t="s">Change (Extended hours)</v>
      <v t="s">Change (%)</v>
      <v t="s">Change % (Extended hours)</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37">
      <v t="s">%EntityServiceId</v>
      <v t="s">_Format</v>
      <v t="s">%IsRefreshable</v>
      <v t="s">%EntityCulture</v>
      <v t="s">%EntityId</v>
      <v t="s">_Icon</v>
      <v t="s">_Display</v>
      <v t="s">Name</v>
      <v t="s">_SubLabel</v>
      <v t="s">Price</v>
      <v t="s">Price (Extended hours)</v>
      <v t="s">Exchange</v>
      <v t="s">Last trade time</v>
      <v t="s">Ticker symbol</v>
      <v t="s">Exchange abbreviation</v>
      <v t="s">Change</v>
      <v t="s">Change (Extended hours)</v>
      <v t="s">Expense ratio</v>
      <v t="s">Change (%)</v>
      <v t="s">Change % (Extended hours)</v>
      <v t="s">Currency</v>
      <v t="s">Previous close</v>
      <v t="s">Open</v>
      <v t="s">High</v>
      <v t="s">Low</v>
      <v t="s">52 week high</v>
      <v t="s">52 week low</v>
      <v t="s">Volume</v>
      <v t="s">Volume average</v>
      <v t="s">Market cap</v>
      <v t="s">Beta</v>
      <v t="s">Instrument type</v>
      <v t="s">_Flags</v>
      <v t="s">UniqueName</v>
      <v t="s">_DisplayString</v>
      <v t="s">LearnMoreOnLink</v>
      <v t="s">%ProviderInfo</v>
    </a>
    <a count="44">
      <v t="s">%EntityServiceId</v>
      <v t="s">_Format</v>
      <v t="s">%IsRefreshable</v>
      <v t="s">%EntityCulture</v>
      <v t="s">%EntityId</v>
      <v t="s">_Icon</v>
      <v t="s">_Display</v>
      <v t="s">Name</v>
      <v t="s">_SubLabel</v>
      <v t="s">Price</v>
      <v t="s">Price (Extended hours)</v>
      <v t="s">Exchange</v>
      <v t="s">Official name</v>
      <v t="s">Last trade time</v>
      <v t="s">Ticker symbol</v>
      <v t="s">Exchange abbreviation</v>
      <v t="s">Change</v>
      <v t="s">Change (Extended hours)</v>
      <v t="s">Change (%)</v>
      <v t="s">Change % (Extended hours)</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ExchangeID</v>
      <v t="s">%ProviderInfo</v>
    </a>
  </spbArrays>
  <spbData count="11">
    <spb s="0">
      <v>0</v>
      <v>Name</v>
      <v>LearnMoreOnLink</v>
    </spb>
    <spb s="1">
      <v>0</v>
      <v>0</v>
      <v>0</v>
    </spb>
    <spb s="2">
      <v>1</v>
      <v>1</v>
      <v>1</v>
      <v>1</v>
    </spb>
    <spb s="3">
      <v>1</v>
      <v>2</v>
      <v>2</v>
      <v>1</v>
      <v>3</v>
      <v>1</v>
      <v>1</v>
      <v>1</v>
      <v>4</v>
      <v>4</v>
      <v>5</v>
      <v>6</v>
      <v>1</v>
      <v>1</v>
      <v>1</v>
      <v>4</v>
      <v>7</v>
      <v>8</v>
      <v>9</v>
      <v>4</v>
      <v>1</v>
      <v>1</v>
      <v>5</v>
    </spb>
    <spb s="4">
      <v>at close</v>
      <v>from previous close</v>
      <v>from previous close</v>
      <v>Source: Nasdaq Last Sale</v>
      <v>GMT</v>
      <v>Real-Time Nasdaq Last Sale</v>
      <v>from close</v>
      <v>from close</v>
    </spb>
    <spb s="0">
      <v>1</v>
      <v>Name</v>
      <v>LearnMoreOnLink</v>
    </spb>
    <spb s="5">
      <v>1</v>
      <v>1</v>
      <v>1</v>
    </spb>
    <spb s="6">
      <v>1</v>
      <v>2</v>
      <v>1</v>
      <v>3</v>
      <v>1</v>
      <v>1</v>
      <v>1</v>
      <v>4</v>
      <v>5</v>
      <v>6</v>
      <v>1</v>
      <v>1</v>
      <v>5</v>
      <v>1</v>
      <v>4</v>
      <v>7</v>
      <v>9</v>
      <v>1</v>
      <v>1</v>
      <v>5</v>
    </spb>
    <spb s="7">
      <v>at close</v>
      <v>from previous close</v>
      <v>Source: Nasdaq Last Sale</v>
      <v>from previous close</v>
      <v>GMT</v>
      <v>Real-Time Nasdaq Last Sale</v>
      <v>from close</v>
      <v>from close</v>
    </spb>
    <spb s="8">
      <v>2</v>
      <v>Name</v>
    </spb>
    <spb s="9">
      <v>1</v>
      <v>1</v>
      <v>1</v>
    </spb>
  </spbData>
</supportingPropertyBags>
</file>

<file path=xl/richData/rdsupportingpropertybagstructure.xml><?xml version="1.0" encoding="utf-8"?>
<spbStructures xmlns="http://schemas.microsoft.com/office/spreadsheetml/2017/richdata2" count="10">
  <s>
    <k n="^Order" t="spba"/>
    <k n="TitleProperty" t="s"/>
    <k n="SubTitleProperty" t="s"/>
  </s>
  <s>
    <k n="ShowInCardView" t="b"/>
    <k n="ShowInDotNotation" t="b"/>
    <k n="ShowInAutoComplete" t="b"/>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k n="Price (Extended hours)" t="i"/>
    <k n="Change (Extended hours)" t="i"/>
    <k n="Change % (Extended hours)" t="i"/>
  </s>
  <s>
    <k n="Price" t="s"/>
    <k n="Change" t="s"/>
    <k n="Change (%)" t="s"/>
    <k n="ExchangeID" t="s"/>
    <k n="Last trade time" t="s"/>
    <k n="Price (Extended hours)" t="s"/>
    <k n="Change (Extended hours)" t="s"/>
    <k n="Change % (Extended hours)" t="s"/>
  </s>
  <s>
    <k n="UniqueName" t="spb"/>
    <k n="`%ProviderInfo" t="spb"/>
    <k n="LearnMoreOnLink" t="spb"/>
  </s>
  <s>
    <k n="Low" t="i"/>
    <k n="Beta" t="i"/>
    <k n="High" t="i"/>
    <k n="Name" t="i"/>
    <k n="Open" t="i"/>
    <k n="Price" t="i"/>
    <k n="Change" t="i"/>
    <k n="Volume" t="i"/>
    <k n="Change (%)" t="i"/>
    <k n="Market cap" t="i"/>
    <k n="52 week low" t="i"/>
    <k n="52 week high" t="i"/>
    <k n="Expense ratio" t="i"/>
    <k n="Previous close" t="i"/>
    <k n="Volume average" t="i"/>
    <k n="Last trade time" t="i"/>
    <k n="`%EntityServiceId" t="i"/>
    <k n="Price (Extended hours)" t="i"/>
    <k n="Change (Extended hours)" t="i"/>
    <k n="Change % (Extended hours)" t="i"/>
  </s>
  <s>
    <k n="Price" t="s"/>
    <k n="Change" t="s"/>
    <k n="Exchange" t="s"/>
    <k n="Change (%)" t="s"/>
    <k n="Last trade time" t="s"/>
    <k n="Price (Extended hours)" t="s"/>
    <k n="Change (Extended hours)" t="s"/>
    <k n="Change % (Extended hours)" t="s"/>
  </s>
  <s>
    <k n="^Order" t="spba"/>
    <k n="TitleProperty" t="s"/>
  </s>
  <s>
    <k n="ExchangeID" t="spb"/>
    <k n="UniqueName" t="spb"/>
    <k n="`%ProviderInfo"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2" formatCode="0.00"/>
    </x:dxf>
    <x:dxf>
      <x:numFmt numFmtId="0" formatCode="General"/>
    </x:dxf>
    <x:dxf>
      <x:numFmt numFmtId="27" formatCode="m/d/yy\ h:mm"/>
    </x:dxf>
    <x:dxf>
      <x:numFmt numFmtId="14" formatCode="0.00%"/>
    </x:dxf>
    <x:dxf>
      <x:numFmt numFmtId="3" formatCode="#,##0"/>
    </x:dxf>
    <x:dxf>
      <x:numFmt numFmtId="4" formatCode="#,##0.00"/>
    </x:dxf>
    <x:dxf>
      <x:numFmt numFmtId="1" formatCode="0"/>
    </x:dxf>
  </dxfs>
  <richProperties>
    <rPr n="NumberFormat" t="s"/>
    <rPr n="IsTitleField" t="b"/>
  </richProperties>
  <richStyles>
    <rSty dxfid="1">
      <rpv i="0">_([$$-en-US]* #,##0.00_);_([$$-en-US]* (#,##0.00);_([$$-en-US]* "-"??_);_(@_)</rpv>
    </rSty>
    <rSty dxfid="5">
      <rpv i="0">#,##0.00</rpv>
    </rSty>
    <rSty>
      <rpv i="1">1</rpv>
    </rSty>
    <rSty dxfid="4">
      <rpv i="0">#,##0</rpv>
    </rSty>
    <rSty dxfid="3"/>
    <rSty dxfid="1">
      <rpv i="0">_([$$-en-US]* #,##0_);_([$$-en-US]* (#,##0);_([$$-en-US]* "-"_);_(@_)</rpv>
    </rSty>
    <rSty dxfid="2"/>
    <rSty dxfid="6">
      <rpv i="0">0</rpv>
    </rSty>
    <rSty dxfid="0">
      <rpv i="0">0.00</rpv>
    </rSty>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4070-5741-D043-A4F4-3530D8365398}">
  <dimension ref="A1:E11"/>
  <sheetViews>
    <sheetView topLeftCell="A2" workbookViewId="0">
      <selection activeCell="B30" sqref="B30"/>
    </sheetView>
  </sheetViews>
  <sheetFormatPr baseColWidth="10" defaultRowHeight="16" x14ac:dyDescent="0.2"/>
  <cols>
    <col min="1" max="1" width="21.1640625" customWidth="1"/>
  </cols>
  <sheetData>
    <row r="1" spans="1:5" x14ac:dyDescent="0.2">
      <c r="A1" t="s">
        <v>0</v>
      </c>
    </row>
    <row r="2" spans="1:5" x14ac:dyDescent="0.2">
      <c r="A2" t="s">
        <v>1</v>
      </c>
    </row>
    <row r="4" spans="1:5" x14ac:dyDescent="0.2">
      <c r="A4" s="1" t="s">
        <v>2</v>
      </c>
    </row>
    <row r="5" spans="1:5" x14ac:dyDescent="0.2">
      <c r="E5" s="1"/>
    </row>
    <row r="6" spans="1:5" x14ac:dyDescent="0.2">
      <c r="A6" t="s">
        <v>3</v>
      </c>
      <c r="B6" s="2">
        <v>10000</v>
      </c>
    </row>
    <row r="7" spans="1:5" x14ac:dyDescent="0.2">
      <c r="A7" t="s">
        <v>4</v>
      </c>
      <c r="B7" s="2">
        <v>1500</v>
      </c>
    </row>
    <row r="8" spans="1:5" x14ac:dyDescent="0.2">
      <c r="A8" t="s">
        <v>5</v>
      </c>
      <c r="B8" s="2">
        <v>750</v>
      </c>
    </row>
    <row r="9" spans="1:5" x14ac:dyDescent="0.2">
      <c r="A9" t="s">
        <v>6</v>
      </c>
      <c r="B9" s="2">
        <v>7000</v>
      </c>
    </row>
    <row r="11" spans="1:5" x14ac:dyDescent="0.2">
      <c r="A11" s="1" t="s">
        <v>7</v>
      </c>
      <c r="B11" s="2">
        <f>B6-B7-B8-B9</f>
        <v>750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2A85-56E9-C643-945A-E13670E6D8B6}">
  <dimension ref="A4:Y140"/>
  <sheetViews>
    <sheetView topLeftCell="J49" workbookViewId="0">
      <selection activeCell="N18" sqref="N18"/>
    </sheetView>
  </sheetViews>
  <sheetFormatPr baseColWidth="10" defaultRowHeight="16" x14ac:dyDescent="0.2"/>
  <cols>
    <col min="1" max="1" width="13.1640625" customWidth="1"/>
    <col min="5" max="5" width="21.33203125" customWidth="1"/>
    <col min="9" max="9" width="14.6640625" customWidth="1"/>
    <col min="10" max="10" width="15.83203125" customWidth="1"/>
    <col min="12" max="12" width="11.83203125" bestFit="1" customWidth="1"/>
    <col min="16" max="16" width="25.1640625" customWidth="1"/>
    <col min="23" max="23" width="11.83203125" bestFit="1" customWidth="1"/>
  </cols>
  <sheetData>
    <row r="4" spans="1:23" x14ac:dyDescent="0.2">
      <c r="A4" s="1" t="s">
        <v>8</v>
      </c>
      <c r="O4" s="1"/>
    </row>
    <row r="5" spans="1:23" x14ac:dyDescent="0.2">
      <c r="A5" t="s">
        <v>15</v>
      </c>
      <c r="E5" s="1" t="s">
        <v>11</v>
      </c>
      <c r="F5" s="1" t="s">
        <v>10</v>
      </c>
      <c r="G5" s="1" t="s">
        <v>12</v>
      </c>
      <c r="H5" s="1" t="s">
        <v>13</v>
      </c>
      <c r="I5" s="1" t="s">
        <v>14</v>
      </c>
      <c r="J5" s="1" t="s">
        <v>16</v>
      </c>
      <c r="K5" s="1" t="s">
        <v>7</v>
      </c>
      <c r="L5" s="1" t="s">
        <v>6</v>
      </c>
      <c r="P5" s="1" t="s">
        <v>22</v>
      </c>
      <c r="Q5" s="1" t="s">
        <v>10</v>
      </c>
      <c r="R5" s="1" t="s">
        <v>12</v>
      </c>
      <c r="S5" s="1" t="s">
        <v>13</v>
      </c>
      <c r="T5" s="1" t="s">
        <v>14</v>
      </c>
      <c r="U5" s="1" t="s">
        <v>16</v>
      </c>
      <c r="V5" s="1" t="s">
        <v>7</v>
      </c>
      <c r="W5" s="1" t="s">
        <v>6</v>
      </c>
    </row>
    <row r="6" spans="1:23" x14ac:dyDescent="0.2">
      <c r="A6" t="s">
        <v>9</v>
      </c>
      <c r="B6" s="2">
        <v>70000</v>
      </c>
      <c r="E6" s="4">
        <v>46388</v>
      </c>
      <c r="F6" s="3">
        <f>$B$7</f>
        <v>5833.333333333333</v>
      </c>
      <c r="G6" s="2">
        <v>2000</v>
      </c>
      <c r="H6" s="5">
        <v>350</v>
      </c>
      <c r="I6" s="5">
        <v>500</v>
      </c>
      <c r="J6" s="2">
        <v>600</v>
      </c>
      <c r="K6" s="2">
        <v>300</v>
      </c>
      <c r="L6" s="3">
        <f>F6-G6-H6-I6-J6-K6</f>
        <v>2083.333333333333</v>
      </c>
      <c r="P6" s="4">
        <v>46388</v>
      </c>
      <c r="Q6" s="3">
        <f>$B$7</f>
        <v>5833.333333333333</v>
      </c>
      <c r="R6" s="2">
        <f>2000-250</f>
        <v>1750</v>
      </c>
      <c r="S6" s="5">
        <v>350</v>
      </c>
      <c r="T6" s="5">
        <v>500</v>
      </c>
      <c r="U6" s="2">
        <v>600</v>
      </c>
      <c r="V6" s="2">
        <v>300</v>
      </c>
      <c r="W6" s="3">
        <f>Q6-R6-S6-T6-U6-V6</f>
        <v>2333.333333333333</v>
      </c>
    </row>
    <row r="7" spans="1:23" x14ac:dyDescent="0.2">
      <c r="A7" t="s">
        <v>10</v>
      </c>
      <c r="B7" s="3">
        <f>B6/12</f>
        <v>5833.333333333333</v>
      </c>
      <c r="E7" s="4">
        <v>46419</v>
      </c>
      <c r="F7" s="3">
        <f t="shared" ref="F7:F70" si="0">$B$7</f>
        <v>5833.333333333333</v>
      </c>
      <c r="G7" s="2">
        <v>2000</v>
      </c>
      <c r="H7" s="5">
        <f>H6</f>
        <v>350</v>
      </c>
      <c r="I7" s="5">
        <v>500</v>
      </c>
      <c r="J7" s="2">
        <v>600</v>
      </c>
      <c r="K7" s="2">
        <v>300</v>
      </c>
      <c r="L7" s="3">
        <f t="shared" ref="L7:L70" si="1">F7-G7-H7-I7-J7-K7</f>
        <v>2083.333333333333</v>
      </c>
      <c r="P7" s="4">
        <v>46419</v>
      </c>
      <c r="Q7" s="3">
        <f t="shared" ref="Q7:Q70" si="2">$B$7</f>
        <v>5833.333333333333</v>
      </c>
      <c r="R7" s="2">
        <f>R6</f>
        <v>1750</v>
      </c>
      <c r="S7" s="5">
        <f>S6</f>
        <v>350</v>
      </c>
      <c r="T7" s="5">
        <v>500</v>
      </c>
      <c r="U7" s="2">
        <v>600</v>
      </c>
      <c r="V7" s="2">
        <v>300</v>
      </c>
      <c r="W7" s="3">
        <f t="shared" ref="W7:W70" si="3">Q7-R7-S7-T7-U7-V7</f>
        <v>2333.333333333333</v>
      </c>
    </row>
    <row r="8" spans="1:23" x14ac:dyDescent="0.2">
      <c r="E8" s="4">
        <v>46447</v>
      </c>
      <c r="F8" s="3">
        <f t="shared" si="0"/>
        <v>5833.333333333333</v>
      </c>
      <c r="G8" s="2">
        <v>2000</v>
      </c>
      <c r="H8" s="5">
        <v>300</v>
      </c>
      <c r="I8" s="5">
        <v>500</v>
      </c>
      <c r="J8" s="2">
        <v>600</v>
      </c>
      <c r="K8" s="2">
        <v>300</v>
      </c>
      <c r="L8" s="3">
        <f t="shared" si="1"/>
        <v>2133.333333333333</v>
      </c>
      <c r="P8" s="4">
        <v>46447</v>
      </c>
      <c r="Q8" s="3">
        <f t="shared" si="2"/>
        <v>5833.333333333333</v>
      </c>
      <c r="R8" s="2">
        <f>R7</f>
        <v>1750</v>
      </c>
      <c r="S8" s="5">
        <v>300</v>
      </c>
      <c r="T8" s="5">
        <v>500</v>
      </c>
      <c r="U8" s="2">
        <v>600</v>
      </c>
      <c r="V8" s="2">
        <v>300</v>
      </c>
      <c r="W8" s="3">
        <f t="shared" si="3"/>
        <v>2383.333333333333</v>
      </c>
    </row>
    <row r="9" spans="1:23" x14ac:dyDescent="0.2">
      <c r="E9" s="4">
        <v>46478</v>
      </c>
      <c r="F9" s="3">
        <f t="shared" si="0"/>
        <v>5833.333333333333</v>
      </c>
      <c r="G9" s="2">
        <v>2000</v>
      </c>
      <c r="H9" s="5">
        <f>H8</f>
        <v>300</v>
      </c>
      <c r="I9" s="5">
        <v>500</v>
      </c>
      <c r="J9" s="2">
        <v>600</v>
      </c>
      <c r="K9" s="2">
        <v>300</v>
      </c>
      <c r="L9" s="3">
        <f t="shared" si="1"/>
        <v>2133.333333333333</v>
      </c>
      <c r="P9" s="4">
        <v>46478</v>
      </c>
      <c r="Q9" s="3">
        <f t="shared" si="2"/>
        <v>5833.333333333333</v>
      </c>
      <c r="R9" s="2">
        <f t="shared" ref="R9:R29" si="4">R8</f>
        <v>1750</v>
      </c>
      <c r="S9" s="5">
        <f>S8</f>
        <v>300</v>
      </c>
      <c r="T9" s="5">
        <v>500</v>
      </c>
      <c r="U9" s="2">
        <v>600</v>
      </c>
      <c r="V9" s="2">
        <v>300</v>
      </c>
      <c r="W9" s="3">
        <f t="shared" si="3"/>
        <v>2383.333333333333</v>
      </c>
    </row>
    <row r="10" spans="1:23" x14ac:dyDescent="0.2">
      <c r="E10" s="4">
        <v>46508</v>
      </c>
      <c r="F10" s="3">
        <f t="shared" si="0"/>
        <v>5833.333333333333</v>
      </c>
      <c r="G10" s="2">
        <v>2000</v>
      </c>
      <c r="H10" s="5">
        <f t="shared" ref="H10:H15" si="5">H9</f>
        <v>300</v>
      </c>
      <c r="I10" s="5">
        <v>500</v>
      </c>
      <c r="J10" s="2">
        <v>600</v>
      </c>
      <c r="K10" s="2">
        <v>300</v>
      </c>
      <c r="L10" s="3">
        <f t="shared" si="1"/>
        <v>2133.333333333333</v>
      </c>
      <c r="P10" s="4">
        <v>46508</v>
      </c>
      <c r="Q10" s="3">
        <f t="shared" si="2"/>
        <v>5833.333333333333</v>
      </c>
      <c r="R10" s="2">
        <f t="shared" si="4"/>
        <v>1750</v>
      </c>
      <c r="S10" s="5">
        <f t="shared" ref="S10:S15" si="6">S9</f>
        <v>300</v>
      </c>
      <c r="T10" s="5">
        <v>500</v>
      </c>
      <c r="U10" s="2">
        <v>600</v>
      </c>
      <c r="V10" s="2">
        <v>300</v>
      </c>
      <c r="W10" s="3">
        <f t="shared" si="3"/>
        <v>2383.333333333333</v>
      </c>
    </row>
    <row r="11" spans="1:23" x14ac:dyDescent="0.2">
      <c r="A11" t="s">
        <v>19</v>
      </c>
      <c r="E11" s="4">
        <v>46539</v>
      </c>
      <c r="F11" s="3">
        <f t="shared" si="0"/>
        <v>5833.333333333333</v>
      </c>
      <c r="G11" s="2">
        <v>2000</v>
      </c>
      <c r="H11" s="5">
        <f t="shared" si="5"/>
        <v>300</v>
      </c>
      <c r="I11" s="5">
        <v>500</v>
      </c>
      <c r="J11" s="2">
        <v>600</v>
      </c>
      <c r="K11" s="2">
        <v>300</v>
      </c>
      <c r="L11" s="3">
        <f t="shared" si="1"/>
        <v>2133.333333333333</v>
      </c>
      <c r="P11" s="4">
        <v>46539</v>
      </c>
      <c r="Q11" s="3">
        <f t="shared" si="2"/>
        <v>5833.333333333333</v>
      </c>
      <c r="R11" s="2">
        <f t="shared" si="4"/>
        <v>1750</v>
      </c>
      <c r="S11" s="5">
        <f t="shared" si="6"/>
        <v>300</v>
      </c>
      <c r="T11" s="5">
        <v>500</v>
      </c>
      <c r="U11" s="2">
        <v>600</v>
      </c>
      <c r="V11" s="2">
        <v>300</v>
      </c>
      <c r="W11" s="3">
        <f t="shared" si="3"/>
        <v>2383.333333333333</v>
      </c>
    </row>
    <row r="12" spans="1:23" x14ac:dyDescent="0.2">
      <c r="A12" t="s">
        <v>20</v>
      </c>
      <c r="E12" s="4">
        <v>46569</v>
      </c>
      <c r="F12" s="3">
        <f t="shared" si="0"/>
        <v>5833.333333333333</v>
      </c>
      <c r="G12" s="2">
        <v>2000</v>
      </c>
      <c r="H12" s="5">
        <f t="shared" si="5"/>
        <v>300</v>
      </c>
      <c r="I12" s="5">
        <v>500</v>
      </c>
      <c r="J12" s="2">
        <v>600</v>
      </c>
      <c r="K12" s="2">
        <v>300</v>
      </c>
      <c r="L12" s="3">
        <f t="shared" si="1"/>
        <v>2133.333333333333</v>
      </c>
      <c r="P12" s="4">
        <v>46569</v>
      </c>
      <c r="Q12" s="3">
        <f t="shared" si="2"/>
        <v>5833.333333333333</v>
      </c>
      <c r="R12" s="2">
        <f t="shared" si="4"/>
        <v>1750</v>
      </c>
      <c r="S12" s="5">
        <f t="shared" si="6"/>
        <v>300</v>
      </c>
      <c r="T12" s="5">
        <v>500</v>
      </c>
      <c r="U12" s="2">
        <v>600</v>
      </c>
      <c r="V12" s="2">
        <v>300</v>
      </c>
      <c r="W12" s="3">
        <f t="shared" si="3"/>
        <v>2383.333333333333</v>
      </c>
    </row>
    <row r="13" spans="1:23" x14ac:dyDescent="0.2">
      <c r="E13" s="4">
        <v>46600</v>
      </c>
      <c r="F13" s="3">
        <f t="shared" si="0"/>
        <v>5833.333333333333</v>
      </c>
      <c r="G13" s="2">
        <v>2000</v>
      </c>
      <c r="H13" s="5">
        <f t="shared" si="5"/>
        <v>300</v>
      </c>
      <c r="I13" s="5">
        <v>500</v>
      </c>
      <c r="J13" s="2">
        <v>600</v>
      </c>
      <c r="K13" s="2">
        <v>300</v>
      </c>
      <c r="L13" s="3">
        <f t="shared" si="1"/>
        <v>2133.333333333333</v>
      </c>
      <c r="P13" s="4">
        <v>46600</v>
      </c>
      <c r="Q13" s="3">
        <f t="shared" si="2"/>
        <v>5833.333333333333</v>
      </c>
      <c r="R13" s="2">
        <f t="shared" si="4"/>
        <v>1750</v>
      </c>
      <c r="S13" s="5">
        <f t="shared" si="6"/>
        <v>300</v>
      </c>
      <c r="T13" s="5">
        <v>500</v>
      </c>
      <c r="U13" s="2">
        <v>600</v>
      </c>
      <c r="V13" s="2">
        <v>300</v>
      </c>
      <c r="W13" s="3">
        <f t="shared" si="3"/>
        <v>2383.333333333333</v>
      </c>
    </row>
    <row r="14" spans="1:23" x14ac:dyDescent="0.2">
      <c r="E14" s="4">
        <v>46631</v>
      </c>
      <c r="F14" s="3">
        <f t="shared" si="0"/>
        <v>5833.333333333333</v>
      </c>
      <c r="G14" s="2">
        <v>2000</v>
      </c>
      <c r="H14" s="5">
        <f t="shared" si="5"/>
        <v>300</v>
      </c>
      <c r="I14" s="5">
        <v>500</v>
      </c>
      <c r="J14" s="2">
        <v>600</v>
      </c>
      <c r="K14" s="2">
        <v>300</v>
      </c>
      <c r="L14" s="3">
        <f t="shared" si="1"/>
        <v>2133.333333333333</v>
      </c>
      <c r="P14" s="4">
        <v>46631</v>
      </c>
      <c r="Q14" s="3">
        <f t="shared" si="2"/>
        <v>5833.333333333333</v>
      </c>
      <c r="R14" s="2">
        <f t="shared" si="4"/>
        <v>1750</v>
      </c>
      <c r="S14" s="5">
        <f t="shared" si="6"/>
        <v>300</v>
      </c>
      <c r="T14" s="5">
        <v>500</v>
      </c>
      <c r="U14" s="2">
        <v>600</v>
      </c>
      <c r="V14" s="2">
        <v>300</v>
      </c>
      <c r="W14" s="3">
        <f t="shared" si="3"/>
        <v>2383.333333333333</v>
      </c>
    </row>
    <row r="15" spans="1:23" x14ac:dyDescent="0.2">
      <c r="E15" s="4">
        <v>46661</v>
      </c>
      <c r="F15" s="3">
        <f t="shared" si="0"/>
        <v>5833.333333333333</v>
      </c>
      <c r="G15" s="2">
        <v>2000</v>
      </c>
      <c r="H15" s="5">
        <f t="shared" si="5"/>
        <v>300</v>
      </c>
      <c r="I15" s="5">
        <v>500</v>
      </c>
      <c r="J15" s="2">
        <v>600</v>
      </c>
      <c r="K15" s="2">
        <v>300</v>
      </c>
      <c r="L15" s="3">
        <f t="shared" si="1"/>
        <v>2133.333333333333</v>
      </c>
      <c r="P15" s="4">
        <v>46661</v>
      </c>
      <c r="Q15" s="3">
        <f t="shared" si="2"/>
        <v>5833.333333333333</v>
      </c>
      <c r="R15" s="2">
        <f t="shared" si="4"/>
        <v>1750</v>
      </c>
      <c r="S15" s="5">
        <f t="shared" si="6"/>
        <v>300</v>
      </c>
      <c r="T15" s="5">
        <v>500</v>
      </c>
      <c r="U15" s="2">
        <v>600</v>
      </c>
      <c r="V15" s="2">
        <v>300</v>
      </c>
      <c r="W15" s="3">
        <f t="shared" si="3"/>
        <v>2383.333333333333</v>
      </c>
    </row>
    <row r="16" spans="1:23" x14ac:dyDescent="0.2">
      <c r="E16" s="4">
        <v>46692</v>
      </c>
      <c r="F16" s="3">
        <f t="shared" si="0"/>
        <v>5833.333333333333</v>
      </c>
      <c r="G16" s="2">
        <v>2000</v>
      </c>
      <c r="H16" s="5">
        <f>H7</f>
        <v>350</v>
      </c>
      <c r="I16" s="5">
        <v>500</v>
      </c>
      <c r="J16" s="2">
        <v>600</v>
      </c>
      <c r="K16" s="2">
        <v>300</v>
      </c>
      <c r="L16" s="3">
        <f t="shared" si="1"/>
        <v>2083.333333333333</v>
      </c>
      <c r="P16" s="4">
        <v>46692</v>
      </c>
      <c r="Q16" s="3">
        <f t="shared" si="2"/>
        <v>5833.333333333333</v>
      </c>
      <c r="R16" s="2">
        <f t="shared" si="4"/>
        <v>1750</v>
      </c>
      <c r="S16" s="5">
        <f>S7</f>
        <v>350</v>
      </c>
      <c r="T16" s="5">
        <v>500</v>
      </c>
      <c r="U16" s="2">
        <v>600</v>
      </c>
      <c r="V16" s="2">
        <v>300</v>
      </c>
      <c r="W16" s="3">
        <f t="shared" si="3"/>
        <v>2333.333333333333</v>
      </c>
    </row>
    <row r="17" spans="5:25" x14ac:dyDescent="0.2">
      <c r="E17" s="4">
        <v>46722</v>
      </c>
      <c r="F17" s="3">
        <f t="shared" si="0"/>
        <v>5833.333333333333</v>
      </c>
      <c r="G17" s="2">
        <v>2000</v>
      </c>
      <c r="H17" s="5">
        <f>H16</f>
        <v>350</v>
      </c>
      <c r="I17" s="5">
        <v>500</v>
      </c>
      <c r="J17" s="2">
        <v>600</v>
      </c>
      <c r="K17" s="2">
        <v>300</v>
      </c>
      <c r="L17" s="3">
        <f t="shared" si="1"/>
        <v>2083.333333333333</v>
      </c>
      <c r="M17" t="str">
        <f>X17</f>
        <v>2027 total</v>
      </c>
      <c r="N17" s="3">
        <f>SUM(L6:L17)</f>
        <v>25399.999999999989</v>
      </c>
      <c r="P17" s="4">
        <v>46722</v>
      </c>
      <c r="Q17" s="3">
        <f t="shared" si="2"/>
        <v>5833.333333333333</v>
      </c>
      <c r="R17" s="2">
        <f t="shared" si="4"/>
        <v>1750</v>
      </c>
      <c r="S17" s="5">
        <f>S16</f>
        <v>350</v>
      </c>
      <c r="T17" s="5">
        <v>500</v>
      </c>
      <c r="U17" s="2">
        <v>600</v>
      </c>
      <c r="V17" s="2">
        <v>300</v>
      </c>
      <c r="W17" s="3">
        <f t="shared" si="3"/>
        <v>2333.333333333333</v>
      </c>
      <c r="X17" t="s">
        <v>23</v>
      </c>
      <c r="Y17" s="3">
        <f>SUM(W6:W17)</f>
        <v>28399.999999999989</v>
      </c>
    </row>
    <row r="18" spans="5:25" x14ac:dyDescent="0.2">
      <c r="E18" s="4">
        <v>46753</v>
      </c>
      <c r="F18" s="3">
        <f t="shared" si="0"/>
        <v>5833.333333333333</v>
      </c>
      <c r="G18" s="2">
        <v>2000</v>
      </c>
      <c r="H18" s="5">
        <f>H6</f>
        <v>350</v>
      </c>
      <c r="I18" s="5">
        <v>500</v>
      </c>
      <c r="J18" s="2">
        <v>600</v>
      </c>
      <c r="K18" s="2">
        <v>300</v>
      </c>
      <c r="L18" s="3">
        <f t="shared" si="1"/>
        <v>2083.333333333333</v>
      </c>
      <c r="P18" s="4">
        <v>46753</v>
      </c>
      <c r="Q18" s="3">
        <f t="shared" si="2"/>
        <v>5833.333333333333</v>
      </c>
      <c r="R18" s="2">
        <f t="shared" si="4"/>
        <v>1750</v>
      </c>
      <c r="S18" s="5">
        <f>S6</f>
        <v>350</v>
      </c>
      <c r="T18" s="5">
        <v>500</v>
      </c>
      <c r="U18" s="2">
        <v>600</v>
      </c>
      <c r="V18" s="2">
        <v>300</v>
      </c>
      <c r="W18" s="3">
        <f t="shared" si="3"/>
        <v>2333.333333333333</v>
      </c>
    </row>
    <row r="19" spans="5:25" x14ac:dyDescent="0.2">
      <c r="E19" s="4">
        <v>46784</v>
      </c>
      <c r="F19" s="3">
        <f t="shared" si="0"/>
        <v>5833.333333333333</v>
      </c>
      <c r="G19" s="2">
        <v>2000</v>
      </c>
      <c r="H19" s="5">
        <f t="shared" ref="H19:H82" si="7">H7</f>
        <v>350</v>
      </c>
      <c r="I19" s="5">
        <v>500</v>
      </c>
      <c r="J19" s="2">
        <v>600</v>
      </c>
      <c r="K19" s="2">
        <v>300</v>
      </c>
      <c r="L19" s="3">
        <f t="shared" si="1"/>
        <v>2083.333333333333</v>
      </c>
      <c r="P19" s="4">
        <v>46784</v>
      </c>
      <c r="Q19" s="3">
        <f t="shared" si="2"/>
        <v>5833.333333333333</v>
      </c>
      <c r="R19" s="2">
        <f t="shared" si="4"/>
        <v>1750</v>
      </c>
      <c r="S19" s="5">
        <f t="shared" ref="S19:S82" si="8">S7</f>
        <v>350</v>
      </c>
      <c r="T19" s="5">
        <v>500</v>
      </c>
      <c r="U19" s="2">
        <v>600</v>
      </c>
      <c r="V19" s="2">
        <v>300</v>
      </c>
      <c r="W19" s="3">
        <f t="shared" si="3"/>
        <v>2333.333333333333</v>
      </c>
    </row>
    <row r="20" spans="5:25" x14ac:dyDescent="0.2">
      <c r="E20" s="4">
        <v>46813</v>
      </c>
      <c r="F20" s="3">
        <f t="shared" si="0"/>
        <v>5833.333333333333</v>
      </c>
      <c r="G20" s="2">
        <v>2000</v>
      </c>
      <c r="H20" s="5">
        <f t="shared" si="7"/>
        <v>300</v>
      </c>
      <c r="I20" s="5">
        <v>500</v>
      </c>
      <c r="J20" s="2">
        <v>600</v>
      </c>
      <c r="K20" s="2">
        <v>300</v>
      </c>
      <c r="L20" s="3">
        <f t="shared" si="1"/>
        <v>2133.333333333333</v>
      </c>
      <c r="P20" s="4">
        <v>46813</v>
      </c>
      <c r="Q20" s="3">
        <f t="shared" si="2"/>
        <v>5833.333333333333</v>
      </c>
      <c r="R20" s="2">
        <f t="shared" si="4"/>
        <v>1750</v>
      </c>
      <c r="S20" s="5">
        <f t="shared" si="8"/>
        <v>300</v>
      </c>
      <c r="T20" s="5">
        <v>500</v>
      </c>
      <c r="U20" s="2">
        <v>600</v>
      </c>
      <c r="V20" s="2">
        <v>300</v>
      </c>
      <c r="W20" s="3">
        <f t="shared" si="3"/>
        <v>2383.333333333333</v>
      </c>
    </row>
    <row r="21" spans="5:25" x14ac:dyDescent="0.2">
      <c r="E21" s="4">
        <v>46844</v>
      </c>
      <c r="F21" s="3">
        <f t="shared" si="0"/>
        <v>5833.333333333333</v>
      </c>
      <c r="G21" s="2">
        <v>2000</v>
      </c>
      <c r="H21" s="5">
        <f t="shared" si="7"/>
        <v>300</v>
      </c>
      <c r="I21" s="5">
        <v>500</v>
      </c>
      <c r="J21" s="2">
        <v>600</v>
      </c>
      <c r="K21" s="2">
        <v>300</v>
      </c>
      <c r="L21" s="3">
        <f t="shared" si="1"/>
        <v>2133.333333333333</v>
      </c>
      <c r="P21" s="4">
        <v>46844</v>
      </c>
      <c r="Q21" s="3">
        <f t="shared" si="2"/>
        <v>5833.333333333333</v>
      </c>
      <c r="R21" s="2">
        <f t="shared" si="4"/>
        <v>1750</v>
      </c>
      <c r="S21" s="5">
        <f t="shared" si="8"/>
        <v>300</v>
      </c>
      <c r="T21" s="5">
        <v>500</v>
      </c>
      <c r="U21" s="2">
        <v>600</v>
      </c>
      <c r="V21" s="2">
        <v>300</v>
      </c>
      <c r="W21" s="3">
        <f t="shared" si="3"/>
        <v>2383.333333333333</v>
      </c>
    </row>
    <row r="22" spans="5:25" x14ac:dyDescent="0.2">
      <c r="E22" s="4">
        <v>46874</v>
      </c>
      <c r="F22" s="3">
        <f t="shared" si="0"/>
        <v>5833.333333333333</v>
      </c>
      <c r="G22" s="2">
        <v>2000</v>
      </c>
      <c r="H22" s="5">
        <f t="shared" si="7"/>
        <v>300</v>
      </c>
      <c r="I22" s="5">
        <v>500</v>
      </c>
      <c r="J22" s="2">
        <v>600</v>
      </c>
      <c r="K22" s="2">
        <v>300</v>
      </c>
      <c r="L22" s="3">
        <f t="shared" si="1"/>
        <v>2133.333333333333</v>
      </c>
      <c r="P22" s="4">
        <v>46874</v>
      </c>
      <c r="Q22" s="3">
        <f t="shared" si="2"/>
        <v>5833.333333333333</v>
      </c>
      <c r="R22" s="2">
        <f t="shared" si="4"/>
        <v>1750</v>
      </c>
      <c r="S22" s="5">
        <f t="shared" si="8"/>
        <v>300</v>
      </c>
      <c r="T22" s="5">
        <v>500</v>
      </c>
      <c r="U22" s="2">
        <v>600</v>
      </c>
      <c r="V22" s="2">
        <v>300</v>
      </c>
      <c r="W22" s="3">
        <f t="shared" si="3"/>
        <v>2383.333333333333</v>
      </c>
    </row>
    <row r="23" spans="5:25" x14ac:dyDescent="0.2">
      <c r="E23" s="4">
        <v>46905</v>
      </c>
      <c r="F23" s="3">
        <f t="shared" si="0"/>
        <v>5833.333333333333</v>
      </c>
      <c r="G23" s="2">
        <v>2000</v>
      </c>
      <c r="H23" s="5">
        <f t="shared" si="7"/>
        <v>300</v>
      </c>
      <c r="I23" s="5">
        <v>500</v>
      </c>
      <c r="J23" s="2">
        <v>600</v>
      </c>
      <c r="K23" s="2">
        <v>300</v>
      </c>
      <c r="L23" s="3">
        <f t="shared" si="1"/>
        <v>2133.333333333333</v>
      </c>
      <c r="P23" s="4">
        <v>46905</v>
      </c>
      <c r="Q23" s="3">
        <f t="shared" si="2"/>
        <v>5833.333333333333</v>
      </c>
      <c r="R23" s="2">
        <f t="shared" si="4"/>
        <v>1750</v>
      </c>
      <c r="S23" s="5">
        <f t="shared" si="8"/>
        <v>300</v>
      </c>
      <c r="T23" s="5">
        <v>500</v>
      </c>
      <c r="U23" s="2">
        <v>600</v>
      </c>
      <c r="V23" s="2">
        <v>300</v>
      </c>
      <c r="W23" s="3">
        <f t="shared" si="3"/>
        <v>2383.333333333333</v>
      </c>
    </row>
    <row r="24" spans="5:25" x14ac:dyDescent="0.2">
      <c r="E24" s="4">
        <v>46935</v>
      </c>
      <c r="F24" s="3">
        <f t="shared" si="0"/>
        <v>5833.333333333333</v>
      </c>
      <c r="G24" s="2">
        <v>2000</v>
      </c>
      <c r="H24" s="5">
        <f t="shared" si="7"/>
        <v>300</v>
      </c>
      <c r="I24" s="5">
        <v>500</v>
      </c>
      <c r="J24" s="2">
        <v>600</v>
      </c>
      <c r="K24" s="2">
        <v>300</v>
      </c>
      <c r="L24" s="3">
        <f t="shared" si="1"/>
        <v>2133.333333333333</v>
      </c>
      <c r="P24" s="4">
        <v>46935</v>
      </c>
      <c r="Q24" s="3">
        <f t="shared" si="2"/>
        <v>5833.333333333333</v>
      </c>
      <c r="R24" s="2">
        <f t="shared" si="4"/>
        <v>1750</v>
      </c>
      <c r="S24" s="5">
        <f t="shared" si="8"/>
        <v>300</v>
      </c>
      <c r="T24" s="5">
        <v>500</v>
      </c>
      <c r="U24" s="2">
        <v>600</v>
      </c>
      <c r="V24" s="2">
        <v>300</v>
      </c>
      <c r="W24" s="3">
        <f t="shared" si="3"/>
        <v>2383.333333333333</v>
      </c>
    </row>
    <row r="25" spans="5:25" x14ac:dyDescent="0.2">
      <c r="E25" s="4">
        <v>46966</v>
      </c>
      <c r="F25" s="3">
        <f t="shared" si="0"/>
        <v>5833.333333333333</v>
      </c>
      <c r="G25" s="2">
        <v>2000</v>
      </c>
      <c r="H25" s="5">
        <f t="shared" si="7"/>
        <v>300</v>
      </c>
      <c r="I25" s="5">
        <v>500</v>
      </c>
      <c r="J25" s="2">
        <v>600</v>
      </c>
      <c r="K25" s="2">
        <v>300</v>
      </c>
      <c r="L25" s="3">
        <f t="shared" si="1"/>
        <v>2133.333333333333</v>
      </c>
      <c r="P25" s="4">
        <v>46966</v>
      </c>
      <c r="Q25" s="3">
        <f t="shared" si="2"/>
        <v>5833.333333333333</v>
      </c>
      <c r="R25" s="2">
        <f t="shared" si="4"/>
        <v>1750</v>
      </c>
      <c r="S25" s="5">
        <f t="shared" si="8"/>
        <v>300</v>
      </c>
      <c r="T25" s="5">
        <v>500</v>
      </c>
      <c r="U25" s="2">
        <v>600</v>
      </c>
      <c r="V25" s="2">
        <v>300</v>
      </c>
      <c r="W25" s="3">
        <f t="shared" si="3"/>
        <v>2383.333333333333</v>
      </c>
    </row>
    <row r="26" spans="5:25" x14ac:dyDescent="0.2">
      <c r="E26" s="4">
        <v>46997</v>
      </c>
      <c r="F26" s="3">
        <f t="shared" si="0"/>
        <v>5833.333333333333</v>
      </c>
      <c r="G26" s="2">
        <v>2000</v>
      </c>
      <c r="H26" s="5">
        <f t="shared" si="7"/>
        <v>300</v>
      </c>
      <c r="I26" s="5">
        <v>500</v>
      </c>
      <c r="J26" s="2">
        <v>600</v>
      </c>
      <c r="K26" s="2">
        <v>300</v>
      </c>
      <c r="L26" s="3">
        <f t="shared" si="1"/>
        <v>2133.333333333333</v>
      </c>
      <c r="P26" s="4">
        <v>46997</v>
      </c>
      <c r="Q26" s="3">
        <f t="shared" si="2"/>
        <v>5833.333333333333</v>
      </c>
      <c r="R26" s="2">
        <f t="shared" si="4"/>
        <v>1750</v>
      </c>
      <c r="S26" s="5">
        <f t="shared" si="8"/>
        <v>300</v>
      </c>
      <c r="T26" s="5">
        <v>500</v>
      </c>
      <c r="U26" s="2">
        <v>600</v>
      </c>
      <c r="V26" s="2">
        <v>300</v>
      </c>
      <c r="W26" s="3">
        <f t="shared" si="3"/>
        <v>2383.333333333333</v>
      </c>
    </row>
    <row r="27" spans="5:25" x14ac:dyDescent="0.2">
      <c r="E27" s="4">
        <v>47027</v>
      </c>
      <c r="F27" s="3">
        <f t="shared" si="0"/>
        <v>5833.333333333333</v>
      </c>
      <c r="G27" s="2">
        <v>2000</v>
      </c>
      <c r="H27" s="5">
        <f t="shared" si="7"/>
        <v>300</v>
      </c>
      <c r="I27" s="5">
        <v>500</v>
      </c>
      <c r="J27" s="2">
        <v>600</v>
      </c>
      <c r="K27" s="2">
        <v>300</v>
      </c>
      <c r="L27" s="3">
        <f t="shared" si="1"/>
        <v>2133.333333333333</v>
      </c>
      <c r="P27" s="4">
        <v>47027</v>
      </c>
      <c r="Q27" s="3">
        <f t="shared" si="2"/>
        <v>5833.333333333333</v>
      </c>
      <c r="R27" s="2">
        <f t="shared" si="4"/>
        <v>1750</v>
      </c>
      <c r="S27" s="5">
        <f t="shared" si="8"/>
        <v>300</v>
      </c>
      <c r="T27" s="5">
        <v>500</v>
      </c>
      <c r="U27" s="2">
        <v>600</v>
      </c>
      <c r="V27" s="2">
        <v>300</v>
      </c>
      <c r="W27" s="3">
        <f t="shared" si="3"/>
        <v>2383.333333333333</v>
      </c>
    </row>
    <row r="28" spans="5:25" x14ac:dyDescent="0.2">
      <c r="E28" s="4">
        <v>47058</v>
      </c>
      <c r="F28" s="3">
        <f t="shared" si="0"/>
        <v>5833.333333333333</v>
      </c>
      <c r="G28" s="2">
        <v>2000</v>
      </c>
      <c r="H28" s="5">
        <f t="shared" si="7"/>
        <v>350</v>
      </c>
      <c r="I28" s="5">
        <v>500</v>
      </c>
      <c r="J28" s="2">
        <v>600</v>
      </c>
      <c r="K28" s="2">
        <v>300</v>
      </c>
      <c r="L28" s="3">
        <f t="shared" si="1"/>
        <v>2083.333333333333</v>
      </c>
      <c r="P28" s="4">
        <v>47058</v>
      </c>
      <c r="Q28" s="3">
        <f t="shared" si="2"/>
        <v>5833.333333333333</v>
      </c>
      <c r="R28" s="2">
        <f t="shared" si="4"/>
        <v>1750</v>
      </c>
      <c r="S28" s="5">
        <f t="shared" si="8"/>
        <v>350</v>
      </c>
      <c r="T28" s="5">
        <v>500</v>
      </c>
      <c r="U28" s="2">
        <v>600</v>
      </c>
      <c r="V28" s="2">
        <v>300</v>
      </c>
      <c r="W28" s="3">
        <f t="shared" si="3"/>
        <v>2333.333333333333</v>
      </c>
    </row>
    <row r="29" spans="5:25" x14ac:dyDescent="0.2">
      <c r="E29" s="4">
        <v>47088</v>
      </c>
      <c r="F29" s="3">
        <f t="shared" si="0"/>
        <v>5833.333333333333</v>
      </c>
      <c r="G29" s="2">
        <v>2000</v>
      </c>
      <c r="H29" s="5">
        <f t="shared" si="7"/>
        <v>350</v>
      </c>
      <c r="I29" s="5">
        <v>500</v>
      </c>
      <c r="J29" s="2">
        <v>600</v>
      </c>
      <c r="K29" s="2">
        <v>300</v>
      </c>
      <c r="L29" s="3">
        <f t="shared" si="1"/>
        <v>2083.333333333333</v>
      </c>
      <c r="M29" t="str">
        <f t="shared" ref="M29:M77" si="9">X29</f>
        <v>2028 total</v>
      </c>
      <c r="N29" s="3">
        <f>SUM(L18:L29)</f>
        <v>25399.999999999989</v>
      </c>
      <c r="P29" s="4">
        <v>47088</v>
      </c>
      <c r="Q29" s="3">
        <f t="shared" si="2"/>
        <v>5833.333333333333</v>
      </c>
      <c r="R29" s="2">
        <f t="shared" si="4"/>
        <v>1750</v>
      </c>
      <c r="S29" s="5">
        <f t="shared" si="8"/>
        <v>350</v>
      </c>
      <c r="T29" s="5">
        <v>500</v>
      </c>
      <c r="U29" s="2">
        <v>600</v>
      </c>
      <c r="V29" s="2">
        <v>300</v>
      </c>
      <c r="W29" s="3">
        <f t="shared" si="3"/>
        <v>2333.333333333333</v>
      </c>
      <c r="X29" t="s">
        <v>24</v>
      </c>
      <c r="Y29" s="3">
        <f>SUM(W18:W29)</f>
        <v>28399.999999999989</v>
      </c>
    </row>
    <row r="30" spans="5:25" x14ac:dyDescent="0.2">
      <c r="E30" s="4">
        <v>47119</v>
      </c>
      <c r="F30" s="3">
        <f t="shared" si="0"/>
        <v>5833.333333333333</v>
      </c>
      <c r="G30" s="2">
        <v>2250</v>
      </c>
      <c r="H30" s="5">
        <f t="shared" si="7"/>
        <v>350</v>
      </c>
      <c r="I30" s="5">
        <v>500</v>
      </c>
      <c r="J30" s="2">
        <v>600</v>
      </c>
      <c r="K30" s="2">
        <v>300</v>
      </c>
      <c r="L30" s="3">
        <f t="shared" si="1"/>
        <v>1833.333333333333</v>
      </c>
      <c r="P30" s="4">
        <v>47119</v>
      </c>
      <c r="Q30" s="3">
        <f t="shared" si="2"/>
        <v>5833.333333333333</v>
      </c>
      <c r="R30" s="2">
        <f>R29+250</f>
        <v>2000</v>
      </c>
      <c r="S30" s="5">
        <f t="shared" si="8"/>
        <v>350</v>
      </c>
      <c r="T30" s="5">
        <v>500</v>
      </c>
      <c r="U30" s="2">
        <v>600</v>
      </c>
      <c r="V30" s="2">
        <v>300</v>
      </c>
      <c r="W30" s="3">
        <f t="shared" si="3"/>
        <v>2083.333333333333</v>
      </c>
    </row>
    <row r="31" spans="5:25" x14ac:dyDescent="0.2">
      <c r="E31" s="4">
        <v>47150</v>
      </c>
      <c r="F31" s="3">
        <f t="shared" si="0"/>
        <v>5833.333333333333</v>
      </c>
      <c r="G31" s="2">
        <v>2250</v>
      </c>
      <c r="H31" s="5">
        <f t="shared" si="7"/>
        <v>350</v>
      </c>
      <c r="I31" s="5">
        <v>500</v>
      </c>
      <c r="J31" s="2">
        <v>600</v>
      </c>
      <c r="K31" s="2">
        <v>300</v>
      </c>
      <c r="L31" s="3">
        <f t="shared" si="1"/>
        <v>1833.333333333333</v>
      </c>
      <c r="P31" s="4">
        <v>47150</v>
      </c>
      <c r="Q31" s="3">
        <f t="shared" si="2"/>
        <v>5833.333333333333</v>
      </c>
      <c r="R31" s="2">
        <f>R30</f>
        <v>2000</v>
      </c>
      <c r="S31" s="5">
        <f t="shared" si="8"/>
        <v>350</v>
      </c>
      <c r="T31" s="5">
        <v>500</v>
      </c>
      <c r="U31" s="2">
        <v>600</v>
      </c>
      <c r="V31" s="2">
        <v>300</v>
      </c>
      <c r="W31" s="3">
        <f t="shared" si="3"/>
        <v>2083.333333333333</v>
      </c>
    </row>
    <row r="32" spans="5:25" x14ac:dyDescent="0.2">
      <c r="E32" s="4">
        <v>47178</v>
      </c>
      <c r="F32" s="3">
        <f t="shared" si="0"/>
        <v>5833.333333333333</v>
      </c>
      <c r="G32" s="2">
        <v>2250</v>
      </c>
      <c r="H32" s="5">
        <f t="shared" si="7"/>
        <v>300</v>
      </c>
      <c r="I32" s="5">
        <v>500</v>
      </c>
      <c r="J32" s="2">
        <v>600</v>
      </c>
      <c r="K32" s="2">
        <v>300</v>
      </c>
      <c r="L32" s="3">
        <f t="shared" si="1"/>
        <v>1883.333333333333</v>
      </c>
      <c r="P32" s="4">
        <v>47178</v>
      </c>
      <c r="Q32" s="3">
        <f t="shared" si="2"/>
        <v>5833.333333333333</v>
      </c>
      <c r="R32" s="2">
        <f t="shared" ref="R32:R52" si="10">R31</f>
        <v>2000</v>
      </c>
      <c r="S32" s="5">
        <f t="shared" si="8"/>
        <v>300</v>
      </c>
      <c r="T32" s="5">
        <v>500</v>
      </c>
      <c r="U32" s="2">
        <v>600</v>
      </c>
      <c r="V32" s="2">
        <v>300</v>
      </c>
      <c r="W32" s="3">
        <f t="shared" si="3"/>
        <v>2133.333333333333</v>
      </c>
    </row>
    <row r="33" spans="1:25" x14ac:dyDescent="0.2">
      <c r="E33" s="4">
        <v>47209</v>
      </c>
      <c r="F33" s="3">
        <f t="shared" si="0"/>
        <v>5833.333333333333</v>
      </c>
      <c r="G33" s="2">
        <v>2250</v>
      </c>
      <c r="H33" s="5">
        <f t="shared" si="7"/>
        <v>300</v>
      </c>
      <c r="I33" s="5">
        <v>500</v>
      </c>
      <c r="J33" s="2">
        <v>600</v>
      </c>
      <c r="K33" s="2">
        <v>300</v>
      </c>
      <c r="L33" s="3">
        <f t="shared" si="1"/>
        <v>1883.333333333333</v>
      </c>
      <c r="P33" s="4">
        <v>47209</v>
      </c>
      <c r="Q33" s="3">
        <f t="shared" si="2"/>
        <v>5833.333333333333</v>
      </c>
      <c r="R33" s="2">
        <f t="shared" si="10"/>
        <v>2000</v>
      </c>
      <c r="S33" s="5">
        <f t="shared" si="8"/>
        <v>300</v>
      </c>
      <c r="T33" s="5">
        <v>500</v>
      </c>
      <c r="U33" s="2">
        <v>600</v>
      </c>
      <c r="V33" s="2">
        <v>300</v>
      </c>
      <c r="W33" s="3">
        <f t="shared" si="3"/>
        <v>2133.333333333333</v>
      </c>
    </row>
    <row r="34" spans="1:25" x14ac:dyDescent="0.2">
      <c r="E34" s="4">
        <v>47239</v>
      </c>
      <c r="F34" s="3">
        <f t="shared" si="0"/>
        <v>5833.333333333333</v>
      </c>
      <c r="G34" s="2">
        <v>2250</v>
      </c>
      <c r="H34" s="5">
        <f t="shared" si="7"/>
        <v>300</v>
      </c>
      <c r="I34" s="5">
        <v>500</v>
      </c>
      <c r="J34" s="2">
        <v>600</v>
      </c>
      <c r="K34" s="2">
        <v>300</v>
      </c>
      <c r="L34" s="3">
        <f t="shared" si="1"/>
        <v>1883.333333333333</v>
      </c>
      <c r="P34" s="4">
        <v>47239</v>
      </c>
      <c r="Q34" s="3">
        <f t="shared" si="2"/>
        <v>5833.333333333333</v>
      </c>
      <c r="R34" s="2">
        <f t="shared" si="10"/>
        <v>2000</v>
      </c>
      <c r="S34" s="5">
        <f t="shared" si="8"/>
        <v>300</v>
      </c>
      <c r="T34" s="5">
        <v>500</v>
      </c>
      <c r="U34" s="2">
        <v>600</v>
      </c>
      <c r="V34" s="2">
        <v>300</v>
      </c>
      <c r="W34" s="3">
        <f t="shared" si="3"/>
        <v>2133.333333333333</v>
      </c>
    </row>
    <row r="35" spans="1:25" x14ac:dyDescent="0.2">
      <c r="E35" s="4">
        <v>47270</v>
      </c>
      <c r="F35" s="3">
        <f t="shared" si="0"/>
        <v>5833.333333333333</v>
      </c>
      <c r="G35" s="2">
        <v>2250</v>
      </c>
      <c r="H35" s="5">
        <f t="shared" si="7"/>
        <v>300</v>
      </c>
      <c r="I35" s="5">
        <v>500</v>
      </c>
      <c r="J35" s="2">
        <v>600</v>
      </c>
      <c r="K35" s="2">
        <v>300</v>
      </c>
      <c r="L35" s="3">
        <f t="shared" si="1"/>
        <v>1883.333333333333</v>
      </c>
      <c r="P35" s="4">
        <v>47270</v>
      </c>
      <c r="Q35" s="3">
        <f t="shared" si="2"/>
        <v>5833.333333333333</v>
      </c>
      <c r="R35" s="2">
        <f t="shared" si="10"/>
        <v>2000</v>
      </c>
      <c r="S35" s="5">
        <f t="shared" si="8"/>
        <v>300</v>
      </c>
      <c r="T35" s="5">
        <v>500</v>
      </c>
      <c r="U35" s="2">
        <v>600</v>
      </c>
      <c r="V35" s="2">
        <v>300</v>
      </c>
      <c r="W35" s="3">
        <f t="shared" si="3"/>
        <v>2133.333333333333</v>
      </c>
    </row>
    <row r="36" spans="1:25" x14ac:dyDescent="0.2">
      <c r="E36" s="4">
        <v>47300</v>
      </c>
      <c r="F36" s="3">
        <f t="shared" si="0"/>
        <v>5833.333333333333</v>
      </c>
      <c r="G36" s="2">
        <v>2250</v>
      </c>
      <c r="H36" s="5">
        <f t="shared" si="7"/>
        <v>300</v>
      </c>
      <c r="I36" s="5">
        <v>500</v>
      </c>
      <c r="J36" s="2">
        <v>600</v>
      </c>
      <c r="K36" s="2">
        <v>300</v>
      </c>
      <c r="L36" s="3">
        <f t="shared" si="1"/>
        <v>1883.333333333333</v>
      </c>
      <c r="P36" s="4">
        <v>47300</v>
      </c>
      <c r="Q36" s="3">
        <f t="shared" si="2"/>
        <v>5833.333333333333</v>
      </c>
      <c r="R36" s="2">
        <f t="shared" si="10"/>
        <v>2000</v>
      </c>
      <c r="S36" s="5">
        <f t="shared" si="8"/>
        <v>300</v>
      </c>
      <c r="T36" s="5">
        <v>500</v>
      </c>
      <c r="U36" s="2">
        <v>600</v>
      </c>
      <c r="V36" s="2">
        <v>300</v>
      </c>
      <c r="W36" s="3">
        <f t="shared" si="3"/>
        <v>2133.333333333333</v>
      </c>
    </row>
    <row r="37" spans="1:25" x14ac:dyDescent="0.2">
      <c r="E37" s="4">
        <v>47331</v>
      </c>
      <c r="F37" s="3">
        <f t="shared" si="0"/>
        <v>5833.333333333333</v>
      </c>
      <c r="G37" s="2">
        <v>2250</v>
      </c>
      <c r="H37" s="5">
        <f t="shared" si="7"/>
        <v>300</v>
      </c>
      <c r="I37" s="5">
        <v>500</v>
      </c>
      <c r="J37" s="2">
        <v>600</v>
      </c>
      <c r="K37" s="2">
        <v>300</v>
      </c>
      <c r="L37" s="3">
        <f t="shared" si="1"/>
        <v>1883.333333333333</v>
      </c>
      <c r="P37" s="4">
        <v>47331</v>
      </c>
      <c r="Q37" s="3">
        <f t="shared" si="2"/>
        <v>5833.333333333333</v>
      </c>
      <c r="R37" s="2">
        <f t="shared" si="10"/>
        <v>2000</v>
      </c>
      <c r="S37" s="5">
        <f t="shared" si="8"/>
        <v>300</v>
      </c>
      <c r="T37" s="5">
        <v>500</v>
      </c>
      <c r="U37" s="2">
        <v>600</v>
      </c>
      <c r="V37" s="2">
        <v>300</v>
      </c>
      <c r="W37" s="3">
        <f t="shared" si="3"/>
        <v>2133.333333333333</v>
      </c>
    </row>
    <row r="38" spans="1:25" x14ac:dyDescent="0.2">
      <c r="E38" s="4">
        <v>47362</v>
      </c>
      <c r="F38" s="3">
        <f t="shared" si="0"/>
        <v>5833.333333333333</v>
      </c>
      <c r="G38" s="2">
        <v>2250</v>
      </c>
      <c r="H38" s="5">
        <f t="shared" si="7"/>
        <v>300</v>
      </c>
      <c r="I38" s="5">
        <v>500</v>
      </c>
      <c r="J38" s="2">
        <v>600</v>
      </c>
      <c r="K38" s="2">
        <v>300</v>
      </c>
      <c r="L38" s="3">
        <f t="shared" si="1"/>
        <v>1883.333333333333</v>
      </c>
      <c r="P38" s="4">
        <v>47362</v>
      </c>
      <c r="Q38" s="3">
        <f t="shared" si="2"/>
        <v>5833.333333333333</v>
      </c>
      <c r="R38" s="2">
        <f t="shared" si="10"/>
        <v>2000</v>
      </c>
      <c r="S38" s="5">
        <f t="shared" si="8"/>
        <v>300</v>
      </c>
      <c r="T38" s="5">
        <v>500</v>
      </c>
      <c r="U38" s="2">
        <v>600</v>
      </c>
      <c r="V38" s="2">
        <v>300</v>
      </c>
      <c r="W38" s="3">
        <f t="shared" si="3"/>
        <v>2133.333333333333</v>
      </c>
    </row>
    <row r="39" spans="1:25" x14ac:dyDescent="0.2">
      <c r="E39" s="4">
        <v>47392</v>
      </c>
      <c r="F39" s="3">
        <f t="shared" si="0"/>
        <v>5833.333333333333</v>
      </c>
      <c r="G39" s="2">
        <v>2250</v>
      </c>
      <c r="H39" s="5">
        <f t="shared" si="7"/>
        <v>300</v>
      </c>
      <c r="I39" s="5">
        <v>500</v>
      </c>
      <c r="J39" s="2">
        <v>600</v>
      </c>
      <c r="K39" s="2">
        <v>300</v>
      </c>
      <c r="L39" s="3">
        <f t="shared" si="1"/>
        <v>1883.333333333333</v>
      </c>
      <c r="P39" s="4">
        <v>47392</v>
      </c>
      <c r="Q39" s="3">
        <f t="shared" si="2"/>
        <v>5833.333333333333</v>
      </c>
      <c r="R39" s="2">
        <f t="shared" si="10"/>
        <v>2000</v>
      </c>
      <c r="S39" s="5">
        <f t="shared" si="8"/>
        <v>300</v>
      </c>
      <c r="T39" s="5">
        <v>500</v>
      </c>
      <c r="U39" s="2">
        <v>600</v>
      </c>
      <c r="V39" s="2">
        <v>300</v>
      </c>
      <c r="W39" s="3">
        <f t="shared" si="3"/>
        <v>2133.333333333333</v>
      </c>
    </row>
    <row r="40" spans="1:25" x14ac:dyDescent="0.2">
      <c r="E40" s="4">
        <v>47423</v>
      </c>
      <c r="F40" s="3">
        <f t="shared" si="0"/>
        <v>5833.333333333333</v>
      </c>
      <c r="G40" s="2">
        <v>2250</v>
      </c>
      <c r="H40" s="5">
        <f t="shared" si="7"/>
        <v>350</v>
      </c>
      <c r="I40" s="5">
        <v>500</v>
      </c>
      <c r="J40" s="2">
        <v>600</v>
      </c>
      <c r="K40" s="2">
        <v>300</v>
      </c>
      <c r="L40" s="3">
        <f t="shared" si="1"/>
        <v>1833.333333333333</v>
      </c>
      <c r="P40" s="4">
        <v>47423</v>
      </c>
      <c r="Q40" s="3">
        <f t="shared" si="2"/>
        <v>5833.333333333333</v>
      </c>
      <c r="R40" s="2">
        <f t="shared" si="10"/>
        <v>2000</v>
      </c>
      <c r="S40" s="5">
        <f t="shared" si="8"/>
        <v>350</v>
      </c>
      <c r="T40" s="5">
        <v>500</v>
      </c>
      <c r="U40" s="2">
        <v>600</v>
      </c>
      <c r="V40" s="2">
        <v>300</v>
      </c>
      <c r="W40" s="3">
        <f t="shared" si="3"/>
        <v>2083.333333333333</v>
      </c>
    </row>
    <row r="41" spans="1:25" x14ac:dyDescent="0.2">
      <c r="A41" t="s">
        <v>18</v>
      </c>
      <c r="E41" s="4">
        <v>47453</v>
      </c>
      <c r="F41" s="3">
        <f t="shared" si="0"/>
        <v>5833.333333333333</v>
      </c>
      <c r="G41" s="2">
        <v>2250</v>
      </c>
      <c r="H41" s="5">
        <f t="shared" si="7"/>
        <v>350</v>
      </c>
      <c r="I41" s="5">
        <v>500</v>
      </c>
      <c r="J41" s="2">
        <v>600</v>
      </c>
      <c r="K41" s="2">
        <v>300</v>
      </c>
      <c r="L41" s="3">
        <f t="shared" si="1"/>
        <v>1833.333333333333</v>
      </c>
      <c r="M41" t="str">
        <f t="shared" si="9"/>
        <v>2029 Total</v>
      </c>
      <c r="N41" s="3">
        <f>SUM(L30:L41)</f>
        <v>22399.999999999989</v>
      </c>
      <c r="P41" s="4">
        <v>47453</v>
      </c>
      <c r="Q41" s="3">
        <f t="shared" si="2"/>
        <v>5833.333333333333</v>
      </c>
      <c r="R41" s="2">
        <f t="shared" si="10"/>
        <v>2000</v>
      </c>
      <c r="S41" s="5">
        <f t="shared" si="8"/>
        <v>350</v>
      </c>
      <c r="T41" s="5">
        <v>500</v>
      </c>
      <c r="U41" s="2">
        <v>600</v>
      </c>
      <c r="V41" s="2">
        <v>300</v>
      </c>
      <c r="W41" s="3">
        <f t="shared" si="3"/>
        <v>2083.333333333333</v>
      </c>
      <c r="X41" t="s">
        <v>25</v>
      </c>
      <c r="Y41" s="3">
        <f>SUM(W30:W41)</f>
        <v>25399.999999999989</v>
      </c>
    </row>
    <row r="42" spans="1:25" x14ac:dyDescent="0.2">
      <c r="E42" s="4">
        <v>47484</v>
      </c>
      <c r="F42" s="3">
        <f t="shared" si="0"/>
        <v>5833.333333333333</v>
      </c>
      <c r="G42" s="2">
        <v>2250</v>
      </c>
      <c r="H42" s="5">
        <f>(H30+100)</f>
        <v>450</v>
      </c>
      <c r="I42" s="5">
        <v>500</v>
      </c>
      <c r="J42" s="2">
        <v>600</v>
      </c>
      <c r="K42" s="2">
        <v>300</v>
      </c>
      <c r="L42" s="3">
        <f t="shared" si="1"/>
        <v>1733.333333333333</v>
      </c>
      <c r="P42" s="4">
        <v>47484</v>
      </c>
      <c r="Q42" s="3">
        <f t="shared" si="2"/>
        <v>5833.333333333333</v>
      </c>
      <c r="R42" s="2">
        <f t="shared" si="10"/>
        <v>2000</v>
      </c>
      <c r="S42" s="5">
        <f>(S30+100)</f>
        <v>450</v>
      </c>
      <c r="T42" s="5">
        <v>500</v>
      </c>
      <c r="U42" s="2">
        <v>600</v>
      </c>
      <c r="V42" s="2">
        <v>300</v>
      </c>
      <c r="W42" s="3">
        <f t="shared" si="3"/>
        <v>1983.333333333333</v>
      </c>
    </row>
    <row r="43" spans="1:25" x14ac:dyDescent="0.2">
      <c r="E43" s="4">
        <v>47515</v>
      </c>
      <c r="F43" s="3">
        <f t="shared" si="0"/>
        <v>5833.333333333333</v>
      </c>
      <c r="G43" s="2">
        <v>2250</v>
      </c>
      <c r="H43" s="5">
        <f>(H31+100)</f>
        <v>450</v>
      </c>
      <c r="I43" s="5">
        <v>500</v>
      </c>
      <c r="J43" s="2">
        <v>600</v>
      </c>
      <c r="K43" s="2">
        <v>400</v>
      </c>
      <c r="L43" s="3">
        <f t="shared" si="1"/>
        <v>1633.333333333333</v>
      </c>
      <c r="P43" s="4">
        <v>47515</v>
      </c>
      <c r="Q43" s="3">
        <f t="shared" si="2"/>
        <v>5833.333333333333</v>
      </c>
      <c r="R43" s="2">
        <f t="shared" si="10"/>
        <v>2000</v>
      </c>
      <c r="S43" s="5">
        <f>(S31+100)</f>
        <v>450</v>
      </c>
      <c r="T43" s="5">
        <v>500</v>
      </c>
      <c r="U43" s="2">
        <v>600</v>
      </c>
      <c r="V43" s="2">
        <v>400</v>
      </c>
      <c r="W43" s="3">
        <f t="shared" si="3"/>
        <v>1883.333333333333</v>
      </c>
    </row>
    <row r="44" spans="1:25" x14ac:dyDescent="0.2">
      <c r="E44" s="4">
        <v>47543</v>
      </c>
      <c r="F44" s="3">
        <f t="shared" si="0"/>
        <v>5833.333333333333</v>
      </c>
      <c r="G44" s="2">
        <v>2250</v>
      </c>
      <c r="H44" s="5">
        <f>(H32+100)</f>
        <v>400</v>
      </c>
      <c r="I44" s="5">
        <v>500</v>
      </c>
      <c r="J44" s="2">
        <v>600</v>
      </c>
      <c r="K44" s="2">
        <v>400</v>
      </c>
      <c r="L44" s="3">
        <f t="shared" si="1"/>
        <v>1683.333333333333</v>
      </c>
      <c r="P44" s="4">
        <v>47543</v>
      </c>
      <c r="Q44" s="3">
        <f t="shared" si="2"/>
        <v>5833.333333333333</v>
      </c>
      <c r="R44" s="2">
        <f t="shared" si="10"/>
        <v>2000</v>
      </c>
      <c r="S44" s="5">
        <f>(S32+100)</f>
        <v>400</v>
      </c>
      <c r="T44" s="5">
        <v>500</v>
      </c>
      <c r="U44" s="2">
        <v>600</v>
      </c>
      <c r="V44" s="2">
        <v>400</v>
      </c>
      <c r="W44" s="3">
        <f t="shared" si="3"/>
        <v>1933.333333333333</v>
      </c>
    </row>
    <row r="45" spans="1:25" x14ac:dyDescent="0.2">
      <c r="E45" s="4">
        <v>47574</v>
      </c>
      <c r="F45" s="3">
        <f t="shared" si="0"/>
        <v>5833.333333333333</v>
      </c>
      <c r="G45" s="2">
        <v>2250</v>
      </c>
      <c r="H45" s="5">
        <f>(H33+100)</f>
        <v>400</v>
      </c>
      <c r="I45" s="5">
        <v>500</v>
      </c>
      <c r="J45" s="2">
        <v>600</v>
      </c>
      <c r="K45" s="2">
        <v>400</v>
      </c>
      <c r="L45" s="3">
        <f t="shared" si="1"/>
        <v>1683.333333333333</v>
      </c>
      <c r="P45" s="4">
        <v>47574</v>
      </c>
      <c r="Q45" s="3">
        <f t="shared" si="2"/>
        <v>5833.333333333333</v>
      </c>
      <c r="R45" s="2">
        <f t="shared" si="10"/>
        <v>2000</v>
      </c>
      <c r="S45" s="5">
        <f>(S33+100)</f>
        <v>400</v>
      </c>
      <c r="T45" s="5">
        <v>500</v>
      </c>
      <c r="U45" s="2">
        <v>600</v>
      </c>
      <c r="V45" s="2">
        <v>400</v>
      </c>
      <c r="W45" s="3">
        <f t="shared" si="3"/>
        <v>1933.333333333333</v>
      </c>
    </row>
    <row r="46" spans="1:25" x14ac:dyDescent="0.2">
      <c r="E46" s="4">
        <v>47604</v>
      </c>
      <c r="F46" s="3">
        <f t="shared" si="0"/>
        <v>5833.333333333333</v>
      </c>
      <c r="G46" s="2">
        <v>2250</v>
      </c>
      <c r="H46" s="5">
        <f>(H34+100)</f>
        <v>400</v>
      </c>
      <c r="I46" s="5">
        <v>500</v>
      </c>
      <c r="J46" s="2">
        <v>600</v>
      </c>
      <c r="K46" s="2">
        <v>400</v>
      </c>
      <c r="L46" s="3">
        <f t="shared" si="1"/>
        <v>1683.333333333333</v>
      </c>
      <c r="P46" s="4">
        <v>47604</v>
      </c>
      <c r="Q46" s="3">
        <f t="shared" si="2"/>
        <v>5833.333333333333</v>
      </c>
      <c r="R46" s="2">
        <f t="shared" si="10"/>
        <v>2000</v>
      </c>
      <c r="S46" s="5">
        <f>(S34+100)</f>
        <v>400</v>
      </c>
      <c r="T46" s="5">
        <v>500</v>
      </c>
      <c r="U46" s="2">
        <v>600</v>
      </c>
      <c r="V46" s="2">
        <v>400</v>
      </c>
      <c r="W46" s="3">
        <f t="shared" si="3"/>
        <v>1933.333333333333</v>
      </c>
    </row>
    <row r="47" spans="1:25" x14ac:dyDescent="0.2">
      <c r="E47" s="4">
        <v>47635</v>
      </c>
      <c r="F47" s="3">
        <f t="shared" si="0"/>
        <v>5833.333333333333</v>
      </c>
      <c r="G47" s="2">
        <v>2250</v>
      </c>
      <c r="H47" s="5">
        <f t="shared" ref="H47:H53" si="11">H35+100</f>
        <v>400</v>
      </c>
      <c r="I47" s="5">
        <v>500</v>
      </c>
      <c r="J47" s="2">
        <v>600</v>
      </c>
      <c r="K47" s="2">
        <v>400</v>
      </c>
      <c r="L47" s="3">
        <f t="shared" si="1"/>
        <v>1683.333333333333</v>
      </c>
      <c r="P47" s="4">
        <v>47635</v>
      </c>
      <c r="Q47" s="3">
        <f t="shared" si="2"/>
        <v>5833.333333333333</v>
      </c>
      <c r="R47" s="2">
        <f t="shared" si="10"/>
        <v>2000</v>
      </c>
      <c r="S47" s="5">
        <f t="shared" ref="S47:S53" si="12">S35+100</f>
        <v>400</v>
      </c>
      <c r="T47" s="5">
        <v>500</v>
      </c>
      <c r="U47" s="2">
        <v>600</v>
      </c>
      <c r="V47" s="2">
        <v>400</v>
      </c>
      <c r="W47" s="3">
        <f t="shared" si="3"/>
        <v>1933.333333333333</v>
      </c>
    </row>
    <row r="48" spans="1:25" x14ac:dyDescent="0.2">
      <c r="E48" s="4">
        <v>47665</v>
      </c>
      <c r="F48" s="3">
        <f t="shared" si="0"/>
        <v>5833.333333333333</v>
      </c>
      <c r="G48" s="2">
        <v>2250</v>
      </c>
      <c r="H48" s="5">
        <f t="shared" si="11"/>
        <v>400</v>
      </c>
      <c r="I48" s="5">
        <v>500</v>
      </c>
      <c r="J48" s="2">
        <v>600</v>
      </c>
      <c r="K48" s="2">
        <v>400</v>
      </c>
      <c r="L48" s="3">
        <f t="shared" si="1"/>
        <v>1683.333333333333</v>
      </c>
      <c r="P48" s="4">
        <v>47665</v>
      </c>
      <c r="Q48" s="3">
        <f t="shared" si="2"/>
        <v>5833.333333333333</v>
      </c>
      <c r="R48" s="2">
        <f t="shared" si="10"/>
        <v>2000</v>
      </c>
      <c r="S48" s="5">
        <f t="shared" si="12"/>
        <v>400</v>
      </c>
      <c r="T48" s="5">
        <v>500</v>
      </c>
      <c r="U48" s="2">
        <v>600</v>
      </c>
      <c r="V48" s="2">
        <v>400</v>
      </c>
      <c r="W48" s="3">
        <f t="shared" si="3"/>
        <v>1933.333333333333</v>
      </c>
    </row>
    <row r="49" spans="5:25" x14ac:dyDescent="0.2">
      <c r="E49" s="4">
        <v>47696</v>
      </c>
      <c r="F49" s="3">
        <f t="shared" si="0"/>
        <v>5833.333333333333</v>
      </c>
      <c r="G49" s="2">
        <v>2250</v>
      </c>
      <c r="H49" s="5">
        <f t="shared" si="11"/>
        <v>400</v>
      </c>
      <c r="I49" s="5">
        <v>500</v>
      </c>
      <c r="J49" s="2">
        <v>600</v>
      </c>
      <c r="K49" s="2">
        <v>400</v>
      </c>
      <c r="L49" s="3">
        <f t="shared" si="1"/>
        <v>1683.333333333333</v>
      </c>
      <c r="P49" s="4">
        <v>47696</v>
      </c>
      <c r="Q49" s="3">
        <f t="shared" si="2"/>
        <v>5833.333333333333</v>
      </c>
      <c r="R49" s="2">
        <f t="shared" si="10"/>
        <v>2000</v>
      </c>
      <c r="S49" s="5">
        <f t="shared" si="12"/>
        <v>400</v>
      </c>
      <c r="T49" s="5">
        <v>500</v>
      </c>
      <c r="U49" s="2">
        <v>600</v>
      </c>
      <c r="V49" s="2">
        <v>400</v>
      </c>
      <c r="W49" s="3">
        <f t="shared" si="3"/>
        <v>1933.333333333333</v>
      </c>
    </row>
    <row r="50" spans="5:25" x14ac:dyDescent="0.2">
      <c r="E50" s="4">
        <v>47727</v>
      </c>
      <c r="F50" s="3">
        <f t="shared" si="0"/>
        <v>5833.333333333333</v>
      </c>
      <c r="G50" s="2">
        <v>2250</v>
      </c>
      <c r="H50" s="5">
        <f t="shared" si="11"/>
        <v>400</v>
      </c>
      <c r="I50" s="5">
        <v>500</v>
      </c>
      <c r="J50" s="2">
        <v>600</v>
      </c>
      <c r="K50" s="2">
        <v>400</v>
      </c>
      <c r="L50" s="3">
        <f t="shared" si="1"/>
        <v>1683.333333333333</v>
      </c>
      <c r="P50" s="4">
        <v>47727</v>
      </c>
      <c r="Q50" s="3">
        <f t="shared" si="2"/>
        <v>5833.333333333333</v>
      </c>
      <c r="R50" s="2">
        <f t="shared" si="10"/>
        <v>2000</v>
      </c>
      <c r="S50" s="5">
        <f t="shared" si="12"/>
        <v>400</v>
      </c>
      <c r="T50" s="5">
        <v>500</v>
      </c>
      <c r="U50" s="2">
        <v>600</v>
      </c>
      <c r="V50" s="2">
        <v>400</v>
      </c>
      <c r="W50" s="3">
        <f t="shared" si="3"/>
        <v>1933.333333333333</v>
      </c>
    </row>
    <row r="51" spans="5:25" x14ac:dyDescent="0.2">
      <c r="E51" s="4">
        <v>47757</v>
      </c>
      <c r="F51" s="3">
        <f t="shared" si="0"/>
        <v>5833.333333333333</v>
      </c>
      <c r="G51" s="2">
        <v>2250</v>
      </c>
      <c r="H51" s="5">
        <f t="shared" si="11"/>
        <v>400</v>
      </c>
      <c r="I51" s="5">
        <v>500</v>
      </c>
      <c r="J51" s="2">
        <v>600</v>
      </c>
      <c r="K51" s="2">
        <v>400</v>
      </c>
      <c r="L51" s="3">
        <f t="shared" si="1"/>
        <v>1683.333333333333</v>
      </c>
      <c r="P51" s="4">
        <v>47757</v>
      </c>
      <c r="Q51" s="3">
        <f t="shared" si="2"/>
        <v>5833.333333333333</v>
      </c>
      <c r="R51" s="2">
        <f t="shared" si="10"/>
        <v>2000</v>
      </c>
      <c r="S51" s="5">
        <f t="shared" si="12"/>
        <v>400</v>
      </c>
      <c r="T51" s="5">
        <v>500</v>
      </c>
      <c r="U51" s="2">
        <v>600</v>
      </c>
      <c r="V51" s="2">
        <v>400</v>
      </c>
      <c r="W51" s="3">
        <f t="shared" si="3"/>
        <v>1933.333333333333</v>
      </c>
    </row>
    <row r="52" spans="5:25" x14ac:dyDescent="0.2">
      <c r="E52" s="4">
        <v>47788</v>
      </c>
      <c r="F52" s="3">
        <f t="shared" si="0"/>
        <v>5833.333333333333</v>
      </c>
      <c r="G52" s="2">
        <v>2250</v>
      </c>
      <c r="H52" s="5">
        <f t="shared" si="11"/>
        <v>450</v>
      </c>
      <c r="I52" s="5">
        <v>500</v>
      </c>
      <c r="J52" s="2">
        <v>600</v>
      </c>
      <c r="K52" s="2">
        <v>400</v>
      </c>
      <c r="L52" s="3">
        <f t="shared" si="1"/>
        <v>1633.333333333333</v>
      </c>
      <c r="P52" s="4">
        <v>47788</v>
      </c>
      <c r="Q52" s="3">
        <f t="shared" si="2"/>
        <v>5833.333333333333</v>
      </c>
      <c r="R52" s="2">
        <f t="shared" si="10"/>
        <v>2000</v>
      </c>
      <c r="S52" s="5">
        <f t="shared" si="12"/>
        <v>450</v>
      </c>
      <c r="T52" s="5">
        <v>500</v>
      </c>
      <c r="U52" s="2">
        <v>600</v>
      </c>
      <c r="V52" s="2">
        <v>400</v>
      </c>
      <c r="W52" s="3">
        <f t="shared" si="3"/>
        <v>1883.333333333333</v>
      </c>
    </row>
    <row r="53" spans="5:25" x14ac:dyDescent="0.2">
      <c r="E53" s="4">
        <v>47818</v>
      </c>
      <c r="F53" s="3">
        <f t="shared" si="0"/>
        <v>5833.333333333333</v>
      </c>
      <c r="G53" s="2">
        <v>2250</v>
      </c>
      <c r="H53" s="5">
        <f t="shared" si="11"/>
        <v>450</v>
      </c>
      <c r="I53" s="5">
        <v>500</v>
      </c>
      <c r="J53" s="2">
        <v>600</v>
      </c>
      <c r="K53" s="2">
        <v>400</v>
      </c>
      <c r="L53" s="3">
        <f t="shared" si="1"/>
        <v>1633.333333333333</v>
      </c>
      <c r="M53" t="str">
        <f t="shared" si="9"/>
        <v>2030 total</v>
      </c>
      <c r="N53" s="3">
        <f>SUM(L42:L53)</f>
        <v>20099.999999999989</v>
      </c>
      <c r="P53" s="4">
        <v>47818</v>
      </c>
      <c r="Q53" s="3">
        <f t="shared" si="2"/>
        <v>5833.333333333333</v>
      </c>
      <c r="R53" s="2">
        <f>R52+250</f>
        <v>2250</v>
      </c>
      <c r="S53" s="5">
        <f t="shared" si="12"/>
        <v>450</v>
      </c>
      <c r="T53" s="5">
        <v>500</v>
      </c>
      <c r="U53" s="2">
        <v>600</v>
      </c>
      <c r="V53" s="2">
        <v>400</v>
      </c>
      <c r="W53" s="3">
        <f t="shared" si="3"/>
        <v>1633.333333333333</v>
      </c>
      <c r="X53" t="s">
        <v>26</v>
      </c>
      <c r="Y53" s="3">
        <f>SUM(W42:W53)</f>
        <v>22849.999999999989</v>
      </c>
    </row>
    <row r="54" spans="5:25" x14ac:dyDescent="0.2">
      <c r="E54" s="4">
        <v>47849</v>
      </c>
      <c r="F54" s="3">
        <f t="shared" si="0"/>
        <v>5833.333333333333</v>
      </c>
      <c r="G54" s="2">
        <v>2500</v>
      </c>
      <c r="H54" s="5">
        <f t="shared" si="7"/>
        <v>450</v>
      </c>
      <c r="I54" s="5">
        <v>500</v>
      </c>
      <c r="J54" s="2">
        <v>600</v>
      </c>
      <c r="K54" s="2">
        <v>400</v>
      </c>
      <c r="L54" s="3">
        <f t="shared" si="1"/>
        <v>1383.333333333333</v>
      </c>
      <c r="P54" s="4">
        <v>47849</v>
      </c>
      <c r="Q54" s="3">
        <f t="shared" si="2"/>
        <v>5833.333333333333</v>
      </c>
      <c r="R54" s="2">
        <f>R53</f>
        <v>2250</v>
      </c>
      <c r="S54" s="5">
        <f t="shared" si="8"/>
        <v>450</v>
      </c>
      <c r="T54" s="5">
        <v>500</v>
      </c>
      <c r="U54" s="2">
        <v>600</v>
      </c>
      <c r="V54" s="2">
        <v>400</v>
      </c>
      <c r="W54" s="3">
        <f t="shared" si="3"/>
        <v>1633.333333333333</v>
      </c>
    </row>
    <row r="55" spans="5:25" x14ac:dyDescent="0.2">
      <c r="E55" s="4">
        <v>47880</v>
      </c>
      <c r="F55" s="3">
        <f t="shared" si="0"/>
        <v>5833.333333333333</v>
      </c>
      <c r="G55" s="2">
        <v>2500</v>
      </c>
      <c r="H55" s="5">
        <f t="shared" si="7"/>
        <v>450</v>
      </c>
      <c r="I55" s="5">
        <v>500</v>
      </c>
      <c r="J55" s="2">
        <v>600</v>
      </c>
      <c r="K55" s="2">
        <v>400</v>
      </c>
      <c r="L55" s="3">
        <f t="shared" si="1"/>
        <v>1383.333333333333</v>
      </c>
      <c r="P55" s="4">
        <v>47880</v>
      </c>
      <c r="Q55" s="3">
        <f t="shared" si="2"/>
        <v>5833.333333333333</v>
      </c>
      <c r="R55" s="2">
        <f t="shared" ref="R55:R88" si="13">R54</f>
        <v>2250</v>
      </c>
      <c r="S55" s="5">
        <f t="shared" si="8"/>
        <v>450</v>
      </c>
      <c r="T55" s="5">
        <v>500</v>
      </c>
      <c r="U55" s="2">
        <v>600</v>
      </c>
      <c r="V55" s="2">
        <v>400</v>
      </c>
      <c r="W55" s="3">
        <f t="shared" si="3"/>
        <v>1633.333333333333</v>
      </c>
    </row>
    <row r="56" spans="5:25" x14ac:dyDescent="0.2">
      <c r="E56" s="4">
        <v>47908</v>
      </c>
      <c r="F56" s="3">
        <f t="shared" si="0"/>
        <v>5833.333333333333</v>
      </c>
      <c r="G56" s="2">
        <v>2500</v>
      </c>
      <c r="H56" s="5">
        <f t="shared" si="7"/>
        <v>400</v>
      </c>
      <c r="I56" s="5">
        <v>500</v>
      </c>
      <c r="J56" s="2">
        <v>600</v>
      </c>
      <c r="K56" s="2">
        <v>400</v>
      </c>
      <c r="L56" s="3">
        <f t="shared" si="1"/>
        <v>1433.333333333333</v>
      </c>
      <c r="P56" s="4">
        <v>47908</v>
      </c>
      <c r="Q56" s="3">
        <f t="shared" si="2"/>
        <v>5833.333333333333</v>
      </c>
      <c r="R56" s="2">
        <f t="shared" si="13"/>
        <v>2250</v>
      </c>
      <c r="S56" s="5">
        <f t="shared" si="8"/>
        <v>400</v>
      </c>
      <c r="T56" s="5">
        <v>500</v>
      </c>
      <c r="U56" s="2">
        <v>600</v>
      </c>
      <c r="V56" s="2">
        <v>400</v>
      </c>
      <c r="W56" s="3">
        <f t="shared" si="3"/>
        <v>1683.333333333333</v>
      </c>
    </row>
    <row r="57" spans="5:25" x14ac:dyDescent="0.2">
      <c r="E57" s="4">
        <v>47939</v>
      </c>
      <c r="F57" s="3">
        <f t="shared" si="0"/>
        <v>5833.333333333333</v>
      </c>
      <c r="G57" s="2">
        <v>2500</v>
      </c>
      <c r="H57" s="5">
        <f t="shared" si="7"/>
        <v>400</v>
      </c>
      <c r="I57" s="5">
        <v>500</v>
      </c>
      <c r="J57" s="2">
        <v>600</v>
      </c>
      <c r="K57" s="2">
        <v>400</v>
      </c>
      <c r="L57" s="3">
        <f t="shared" si="1"/>
        <v>1433.333333333333</v>
      </c>
      <c r="P57" s="4">
        <v>47939</v>
      </c>
      <c r="Q57" s="3">
        <f t="shared" si="2"/>
        <v>5833.333333333333</v>
      </c>
      <c r="R57" s="2">
        <f t="shared" si="13"/>
        <v>2250</v>
      </c>
      <c r="S57" s="5">
        <f t="shared" si="8"/>
        <v>400</v>
      </c>
      <c r="T57" s="5">
        <v>500</v>
      </c>
      <c r="U57" s="2">
        <v>600</v>
      </c>
      <c r="V57" s="2">
        <v>400</v>
      </c>
      <c r="W57" s="3">
        <f t="shared" si="3"/>
        <v>1683.333333333333</v>
      </c>
    </row>
    <row r="58" spans="5:25" x14ac:dyDescent="0.2">
      <c r="E58" s="4">
        <v>47969</v>
      </c>
      <c r="F58" s="3">
        <f t="shared" si="0"/>
        <v>5833.333333333333</v>
      </c>
      <c r="G58" s="2">
        <v>2500</v>
      </c>
      <c r="H58" s="5">
        <f t="shared" si="7"/>
        <v>400</v>
      </c>
      <c r="I58" s="5">
        <v>500</v>
      </c>
      <c r="J58" s="2">
        <v>600</v>
      </c>
      <c r="K58" s="2">
        <v>400</v>
      </c>
      <c r="L58" s="3">
        <f t="shared" si="1"/>
        <v>1433.333333333333</v>
      </c>
      <c r="P58" s="4">
        <v>47969</v>
      </c>
      <c r="Q58" s="3">
        <f t="shared" si="2"/>
        <v>5833.333333333333</v>
      </c>
      <c r="R58" s="2">
        <f t="shared" si="13"/>
        <v>2250</v>
      </c>
      <c r="S58" s="5">
        <f t="shared" si="8"/>
        <v>400</v>
      </c>
      <c r="T58" s="5">
        <v>500</v>
      </c>
      <c r="U58" s="2">
        <v>600</v>
      </c>
      <c r="V58" s="2">
        <v>400</v>
      </c>
      <c r="W58" s="3">
        <f t="shared" si="3"/>
        <v>1683.333333333333</v>
      </c>
    </row>
    <row r="59" spans="5:25" x14ac:dyDescent="0.2">
      <c r="E59" s="4">
        <v>48000</v>
      </c>
      <c r="F59" s="3">
        <f t="shared" si="0"/>
        <v>5833.333333333333</v>
      </c>
      <c r="G59" s="2">
        <v>2500</v>
      </c>
      <c r="H59" s="5">
        <f t="shared" si="7"/>
        <v>400</v>
      </c>
      <c r="I59" s="5">
        <v>500</v>
      </c>
      <c r="J59" s="2">
        <v>750</v>
      </c>
      <c r="K59" s="2">
        <v>400</v>
      </c>
      <c r="L59" s="3">
        <f t="shared" si="1"/>
        <v>1283.333333333333</v>
      </c>
      <c r="P59" s="4">
        <v>48000</v>
      </c>
      <c r="Q59" s="3">
        <f t="shared" si="2"/>
        <v>5833.333333333333</v>
      </c>
      <c r="R59" s="2">
        <f t="shared" si="13"/>
        <v>2250</v>
      </c>
      <c r="S59" s="5">
        <f t="shared" si="8"/>
        <v>400</v>
      </c>
      <c r="T59" s="5">
        <v>500</v>
      </c>
      <c r="U59" s="2">
        <v>750</v>
      </c>
      <c r="V59" s="2">
        <v>400</v>
      </c>
      <c r="W59" s="3">
        <f t="shared" si="3"/>
        <v>1533.333333333333</v>
      </c>
    </row>
    <row r="60" spans="5:25" x14ac:dyDescent="0.2">
      <c r="E60" s="4">
        <v>48030</v>
      </c>
      <c r="F60" s="3">
        <f t="shared" si="0"/>
        <v>5833.333333333333</v>
      </c>
      <c r="G60" s="2">
        <v>2500</v>
      </c>
      <c r="H60" s="5">
        <f t="shared" si="7"/>
        <v>400</v>
      </c>
      <c r="I60" s="5">
        <v>500</v>
      </c>
      <c r="J60" s="2">
        <v>750</v>
      </c>
      <c r="K60" s="2">
        <v>400</v>
      </c>
      <c r="L60" s="3">
        <f t="shared" si="1"/>
        <v>1283.333333333333</v>
      </c>
      <c r="P60" s="4">
        <v>48030</v>
      </c>
      <c r="Q60" s="3">
        <f t="shared" si="2"/>
        <v>5833.333333333333</v>
      </c>
      <c r="R60" s="2">
        <f t="shared" si="13"/>
        <v>2250</v>
      </c>
      <c r="S60" s="5">
        <f t="shared" si="8"/>
        <v>400</v>
      </c>
      <c r="T60" s="5">
        <v>500</v>
      </c>
      <c r="U60" s="2">
        <v>750</v>
      </c>
      <c r="V60" s="2">
        <v>400</v>
      </c>
      <c r="W60" s="3">
        <f t="shared" si="3"/>
        <v>1533.333333333333</v>
      </c>
    </row>
    <row r="61" spans="5:25" x14ac:dyDescent="0.2">
      <c r="E61" s="4">
        <v>48061</v>
      </c>
      <c r="F61" s="3">
        <f t="shared" si="0"/>
        <v>5833.333333333333</v>
      </c>
      <c r="G61" s="2">
        <v>2500</v>
      </c>
      <c r="H61" s="5">
        <f t="shared" si="7"/>
        <v>400</v>
      </c>
      <c r="I61" s="5">
        <v>500</v>
      </c>
      <c r="J61" s="2">
        <v>750</v>
      </c>
      <c r="K61" s="2">
        <v>400</v>
      </c>
      <c r="L61" s="3">
        <f t="shared" si="1"/>
        <v>1283.333333333333</v>
      </c>
      <c r="P61" s="4">
        <v>48061</v>
      </c>
      <c r="Q61" s="3">
        <f t="shared" si="2"/>
        <v>5833.333333333333</v>
      </c>
      <c r="R61" s="2">
        <f t="shared" si="13"/>
        <v>2250</v>
      </c>
      <c r="S61" s="5">
        <f t="shared" si="8"/>
        <v>400</v>
      </c>
      <c r="T61" s="5">
        <v>500</v>
      </c>
      <c r="U61" s="2">
        <v>750</v>
      </c>
      <c r="V61" s="2">
        <v>400</v>
      </c>
      <c r="W61" s="3">
        <f t="shared" si="3"/>
        <v>1533.333333333333</v>
      </c>
    </row>
    <row r="62" spans="5:25" x14ac:dyDescent="0.2">
      <c r="E62" s="4">
        <v>48092</v>
      </c>
      <c r="F62" s="3">
        <f t="shared" si="0"/>
        <v>5833.333333333333</v>
      </c>
      <c r="G62" s="2">
        <v>2500</v>
      </c>
      <c r="H62" s="5">
        <f t="shared" si="7"/>
        <v>400</v>
      </c>
      <c r="I62" s="5">
        <v>500</v>
      </c>
      <c r="J62" s="2">
        <v>750</v>
      </c>
      <c r="K62" s="2">
        <v>400</v>
      </c>
      <c r="L62" s="3">
        <f t="shared" si="1"/>
        <v>1283.333333333333</v>
      </c>
      <c r="P62" s="4">
        <v>48092</v>
      </c>
      <c r="Q62" s="3">
        <f t="shared" si="2"/>
        <v>5833.333333333333</v>
      </c>
      <c r="R62" s="2">
        <f t="shared" si="13"/>
        <v>2250</v>
      </c>
      <c r="S62" s="5">
        <f t="shared" si="8"/>
        <v>400</v>
      </c>
      <c r="T62" s="5">
        <v>500</v>
      </c>
      <c r="U62" s="2">
        <v>750</v>
      </c>
      <c r="V62" s="2">
        <v>400</v>
      </c>
      <c r="W62" s="3">
        <f t="shared" si="3"/>
        <v>1533.333333333333</v>
      </c>
    </row>
    <row r="63" spans="5:25" x14ac:dyDescent="0.2">
      <c r="E63" s="4">
        <v>48122</v>
      </c>
      <c r="F63" s="3">
        <f t="shared" si="0"/>
        <v>5833.333333333333</v>
      </c>
      <c r="G63" s="2">
        <v>2500</v>
      </c>
      <c r="H63" s="5">
        <f t="shared" si="7"/>
        <v>400</v>
      </c>
      <c r="I63" s="5">
        <v>500</v>
      </c>
      <c r="J63" s="2">
        <v>750</v>
      </c>
      <c r="K63" s="2">
        <v>400</v>
      </c>
      <c r="L63" s="3">
        <f t="shared" si="1"/>
        <v>1283.333333333333</v>
      </c>
      <c r="P63" s="4">
        <v>48122</v>
      </c>
      <c r="Q63" s="3">
        <f t="shared" si="2"/>
        <v>5833.333333333333</v>
      </c>
      <c r="R63" s="2">
        <f t="shared" si="13"/>
        <v>2250</v>
      </c>
      <c r="S63" s="5">
        <f t="shared" si="8"/>
        <v>400</v>
      </c>
      <c r="T63" s="5">
        <v>500</v>
      </c>
      <c r="U63" s="2">
        <v>750</v>
      </c>
      <c r="V63" s="2">
        <v>400</v>
      </c>
      <c r="W63" s="3">
        <f t="shared" si="3"/>
        <v>1533.333333333333</v>
      </c>
    </row>
    <row r="64" spans="5:25" x14ac:dyDescent="0.2">
      <c r="E64" s="4">
        <v>48153</v>
      </c>
      <c r="F64" s="3">
        <f t="shared" si="0"/>
        <v>5833.333333333333</v>
      </c>
      <c r="G64" s="2">
        <v>2500</v>
      </c>
      <c r="H64" s="5">
        <f t="shared" si="7"/>
        <v>450</v>
      </c>
      <c r="I64" s="5">
        <v>500</v>
      </c>
      <c r="J64" s="2">
        <v>750</v>
      </c>
      <c r="K64" s="2">
        <v>400</v>
      </c>
      <c r="L64" s="3">
        <f t="shared" si="1"/>
        <v>1233.333333333333</v>
      </c>
      <c r="P64" s="4">
        <v>48153</v>
      </c>
      <c r="Q64" s="3">
        <f t="shared" si="2"/>
        <v>5833.333333333333</v>
      </c>
      <c r="R64" s="2">
        <f t="shared" si="13"/>
        <v>2250</v>
      </c>
      <c r="S64" s="5">
        <f t="shared" si="8"/>
        <v>450</v>
      </c>
      <c r="T64" s="5">
        <v>500</v>
      </c>
      <c r="U64" s="2">
        <v>750</v>
      </c>
      <c r="V64" s="2">
        <v>400</v>
      </c>
      <c r="W64" s="3">
        <f t="shared" si="3"/>
        <v>1483.333333333333</v>
      </c>
    </row>
    <row r="65" spans="5:25" x14ac:dyDescent="0.2">
      <c r="E65" s="4">
        <v>48183</v>
      </c>
      <c r="F65" s="3">
        <f t="shared" si="0"/>
        <v>5833.333333333333</v>
      </c>
      <c r="G65" s="2">
        <v>2500</v>
      </c>
      <c r="H65" s="5">
        <f t="shared" si="7"/>
        <v>450</v>
      </c>
      <c r="I65" s="5">
        <v>500</v>
      </c>
      <c r="J65" s="2">
        <v>750</v>
      </c>
      <c r="K65" s="2">
        <v>400</v>
      </c>
      <c r="L65" s="3">
        <f t="shared" si="1"/>
        <v>1233.333333333333</v>
      </c>
      <c r="M65" t="str">
        <f t="shared" si="9"/>
        <v>2031 total</v>
      </c>
      <c r="N65" s="3">
        <f>SUM(L54:L65)</f>
        <v>15949.999999999993</v>
      </c>
      <c r="P65" s="4">
        <v>48183</v>
      </c>
      <c r="Q65" s="3">
        <f t="shared" si="2"/>
        <v>5833.333333333333</v>
      </c>
      <c r="R65" s="2">
        <f t="shared" si="13"/>
        <v>2250</v>
      </c>
      <c r="S65" s="5">
        <f t="shared" si="8"/>
        <v>450</v>
      </c>
      <c r="T65" s="5">
        <v>500</v>
      </c>
      <c r="U65" s="2">
        <v>750</v>
      </c>
      <c r="V65" s="2">
        <v>400</v>
      </c>
      <c r="W65" s="3">
        <f t="shared" si="3"/>
        <v>1483.333333333333</v>
      </c>
      <c r="X65" t="s">
        <v>27</v>
      </c>
      <c r="Y65" s="3">
        <f>SUM(W54:W65)</f>
        <v>18949.999999999989</v>
      </c>
    </row>
    <row r="66" spans="5:25" x14ac:dyDescent="0.2">
      <c r="E66" s="4">
        <v>48214</v>
      </c>
      <c r="F66" s="3">
        <f t="shared" si="0"/>
        <v>5833.333333333333</v>
      </c>
      <c r="G66" s="2">
        <v>2500</v>
      </c>
      <c r="H66" s="5">
        <f t="shared" si="7"/>
        <v>450</v>
      </c>
      <c r="I66" s="5">
        <v>500</v>
      </c>
      <c r="J66" s="2">
        <v>750</v>
      </c>
      <c r="K66" s="2">
        <v>400</v>
      </c>
      <c r="L66" s="3">
        <f t="shared" si="1"/>
        <v>1233.333333333333</v>
      </c>
      <c r="P66" s="4">
        <v>48214</v>
      </c>
      <c r="Q66" s="3">
        <f t="shared" si="2"/>
        <v>5833.333333333333</v>
      </c>
      <c r="R66" s="2">
        <f t="shared" si="13"/>
        <v>2250</v>
      </c>
      <c r="S66" s="5">
        <f t="shared" si="8"/>
        <v>450</v>
      </c>
      <c r="T66" s="5">
        <v>500</v>
      </c>
      <c r="U66" s="2">
        <v>750</v>
      </c>
      <c r="V66" s="2">
        <v>400</v>
      </c>
      <c r="W66" s="3">
        <f t="shared" si="3"/>
        <v>1483.333333333333</v>
      </c>
    </row>
    <row r="67" spans="5:25" x14ac:dyDescent="0.2">
      <c r="E67" s="4">
        <v>48245</v>
      </c>
      <c r="F67" s="3">
        <f t="shared" si="0"/>
        <v>5833.333333333333</v>
      </c>
      <c r="G67" s="2">
        <v>2500</v>
      </c>
      <c r="H67" s="5">
        <f t="shared" si="7"/>
        <v>450</v>
      </c>
      <c r="I67" s="5">
        <v>500</v>
      </c>
      <c r="J67" s="2">
        <v>750</v>
      </c>
      <c r="K67" s="2">
        <v>400</v>
      </c>
      <c r="L67" s="3">
        <f t="shared" si="1"/>
        <v>1233.333333333333</v>
      </c>
      <c r="P67" s="4">
        <v>48245</v>
      </c>
      <c r="Q67" s="3">
        <f t="shared" si="2"/>
        <v>5833.333333333333</v>
      </c>
      <c r="R67" s="2">
        <f t="shared" si="13"/>
        <v>2250</v>
      </c>
      <c r="S67" s="5">
        <f t="shared" si="8"/>
        <v>450</v>
      </c>
      <c r="T67" s="5">
        <v>500</v>
      </c>
      <c r="U67" s="2">
        <v>750</v>
      </c>
      <c r="V67" s="2">
        <v>400</v>
      </c>
      <c r="W67" s="3">
        <f t="shared" si="3"/>
        <v>1483.333333333333</v>
      </c>
    </row>
    <row r="68" spans="5:25" x14ac:dyDescent="0.2">
      <c r="E68" s="4">
        <v>48274</v>
      </c>
      <c r="F68" s="3">
        <f t="shared" si="0"/>
        <v>5833.333333333333</v>
      </c>
      <c r="G68" s="2">
        <v>2500</v>
      </c>
      <c r="H68" s="5">
        <f t="shared" si="7"/>
        <v>400</v>
      </c>
      <c r="I68" s="5">
        <v>500</v>
      </c>
      <c r="J68" s="2">
        <v>750</v>
      </c>
      <c r="K68" s="2">
        <v>400</v>
      </c>
      <c r="L68" s="3">
        <f t="shared" si="1"/>
        <v>1283.333333333333</v>
      </c>
      <c r="P68" s="4">
        <v>48274</v>
      </c>
      <c r="Q68" s="3">
        <f t="shared" si="2"/>
        <v>5833.333333333333</v>
      </c>
      <c r="R68" s="2">
        <f t="shared" si="13"/>
        <v>2250</v>
      </c>
      <c r="S68" s="5">
        <f t="shared" si="8"/>
        <v>400</v>
      </c>
      <c r="T68" s="5">
        <v>500</v>
      </c>
      <c r="U68" s="2">
        <v>750</v>
      </c>
      <c r="V68" s="2">
        <v>400</v>
      </c>
      <c r="W68" s="3">
        <f t="shared" si="3"/>
        <v>1533.333333333333</v>
      </c>
    </row>
    <row r="69" spans="5:25" x14ac:dyDescent="0.2">
      <c r="E69" s="4">
        <v>48305</v>
      </c>
      <c r="F69" s="3">
        <f t="shared" si="0"/>
        <v>5833.333333333333</v>
      </c>
      <c r="G69" s="2">
        <v>2500</v>
      </c>
      <c r="H69" s="5">
        <f t="shared" si="7"/>
        <v>400</v>
      </c>
      <c r="I69" s="5">
        <v>500</v>
      </c>
      <c r="J69" s="2">
        <v>750</v>
      </c>
      <c r="K69" s="2">
        <v>400</v>
      </c>
      <c r="L69" s="3">
        <f t="shared" si="1"/>
        <v>1283.333333333333</v>
      </c>
      <c r="P69" s="4">
        <v>48305</v>
      </c>
      <c r="Q69" s="3">
        <f t="shared" si="2"/>
        <v>5833.333333333333</v>
      </c>
      <c r="R69" s="2">
        <f t="shared" si="13"/>
        <v>2250</v>
      </c>
      <c r="S69" s="5">
        <f t="shared" si="8"/>
        <v>400</v>
      </c>
      <c r="T69" s="5">
        <v>500</v>
      </c>
      <c r="U69" s="2">
        <v>750</v>
      </c>
      <c r="V69" s="2">
        <v>400</v>
      </c>
      <c r="W69" s="3">
        <f t="shared" si="3"/>
        <v>1533.333333333333</v>
      </c>
    </row>
    <row r="70" spans="5:25" x14ac:dyDescent="0.2">
      <c r="E70" s="4">
        <v>48335</v>
      </c>
      <c r="F70" s="3">
        <f t="shared" si="0"/>
        <v>5833.333333333333</v>
      </c>
      <c r="G70" s="2">
        <v>2500</v>
      </c>
      <c r="H70" s="5">
        <f t="shared" si="7"/>
        <v>400</v>
      </c>
      <c r="I70" s="5">
        <v>500</v>
      </c>
      <c r="J70" s="2">
        <v>750</v>
      </c>
      <c r="K70" s="2">
        <v>400</v>
      </c>
      <c r="L70" s="3">
        <f t="shared" si="1"/>
        <v>1283.333333333333</v>
      </c>
      <c r="P70" s="4">
        <v>48335</v>
      </c>
      <c r="Q70" s="3">
        <f t="shared" si="2"/>
        <v>5833.333333333333</v>
      </c>
      <c r="R70" s="2">
        <f t="shared" si="13"/>
        <v>2250</v>
      </c>
      <c r="S70" s="5">
        <f t="shared" si="8"/>
        <v>400</v>
      </c>
      <c r="T70" s="5">
        <v>500</v>
      </c>
      <c r="U70" s="2">
        <v>750</v>
      </c>
      <c r="V70" s="2">
        <v>400</v>
      </c>
      <c r="W70" s="3">
        <f t="shared" si="3"/>
        <v>1533.333333333333</v>
      </c>
    </row>
    <row r="71" spans="5:25" x14ac:dyDescent="0.2">
      <c r="E71" s="4">
        <v>48366</v>
      </c>
      <c r="F71" s="3">
        <f t="shared" ref="F71:F89" si="14">$B$7</f>
        <v>5833.333333333333</v>
      </c>
      <c r="G71" s="2">
        <v>2500</v>
      </c>
      <c r="H71" s="5">
        <f t="shared" si="7"/>
        <v>400</v>
      </c>
      <c r="I71" s="5">
        <v>500</v>
      </c>
      <c r="J71" s="2">
        <v>750</v>
      </c>
      <c r="K71" s="2">
        <v>400</v>
      </c>
      <c r="L71" s="3">
        <f t="shared" ref="L71:L134" si="15">F71-G71-H71-I71-J71-K71</f>
        <v>1283.333333333333</v>
      </c>
      <c r="P71" s="4">
        <v>48366</v>
      </c>
      <c r="Q71" s="3">
        <f t="shared" ref="Q71:Q89" si="16">$B$7</f>
        <v>5833.333333333333</v>
      </c>
      <c r="R71" s="2">
        <f t="shared" si="13"/>
        <v>2250</v>
      </c>
      <c r="S71" s="5">
        <f t="shared" si="8"/>
        <v>400</v>
      </c>
      <c r="T71" s="5">
        <v>500</v>
      </c>
      <c r="U71" s="2">
        <v>750</v>
      </c>
      <c r="V71" s="2">
        <v>400</v>
      </c>
      <c r="W71" s="3">
        <f t="shared" ref="W71:W134" si="17">Q71-R71-S71-T71-U71-V71</f>
        <v>1533.333333333333</v>
      </c>
    </row>
    <row r="72" spans="5:25" x14ac:dyDescent="0.2">
      <c r="E72" s="4">
        <v>48396</v>
      </c>
      <c r="F72" s="3">
        <f t="shared" si="14"/>
        <v>5833.333333333333</v>
      </c>
      <c r="G72" s="2">
        <v>2500</v>
      </c>
      <c r="H72" s="5">
        <f t="shared" si="7"/>
        <v>400</v>
      </c>
      <c r="I72" s="5">
        <v>500</v>
      </c>
      <c r="J72" s="2">
        <v>750</v>
      </c>
      <c r="K72" s="2">
        <v>400</v>
      </c>
      <c r="L72" s="3">
        <f t="shared" si="15"/>
        <v>1283.333333333333</v>
      </c>
      <c r="P72" s="4">
        <v>48396</v>
      </c>
      <c r="Q72" s="3">
        <f t="shared" si="16"/>
        <v>5833.333333333333</v>
      </c>
      <c r="R72" s="2">
        <f t="shared" si="13"/>
        <v>2250</v>
      </c>
      <c r="S72" s="5">
        <f t="shared" si="8"/>
        <v>400</v>
      </c>
      <c r="T72" s="5">
        <v>500</v>
      </c>
      <c r="U72" s="2">
        <v>750</v>
      </c>
      <c r="V72" s="2">
        <v>400</v>
      </c>
      <c r="W72" s="3">
        <f t="shared" si="17"/>
        <v>1533.333333333333</v>
      </c>
    </row>
    <row r="73" spans="5:25" x14ac:dyDescent="0.2">
      <c r="E73" s="4">
        <v>48427</v>
      </c>
      <c r="F73" s="3">
        <f t="shared" si="14"/>
        <v>5833.333333333333</v>
      </c>
      <c r="G73" s="2">
        <v>2500</v>
      </c>
      <c r="H73" s="5">
        <f t="shared" si="7"/>
        <v>400</v>
      </c>
      <c r="I73" s="5">
        <v>500</v>
      </c>
      <c r="J73" s="2">
        <v>750</v>
      </c>
      <c r="K73" s="2">
        <v>400</v>
      </c>
      <c r="L73" s="3">
        <f t="shared" si="15"/>
        <v>1283.333333333333</v>
      </c>
      <c r="P73" s="4">
        <v>48427</v>
      </c>
      <c r="Q73" s="3">
        <f t="shared" si="16"/>
        <v>5833.333333333333</v>
      </c>
      <c r="R73" s="2">
        <f t="shared" si="13"/>
        <v>2250</v>
      </c>
      <c r="S73" s="5">
        <f t="shared" si="8"/>
        <v>400</v>
      </c>
      <c r="T73" s="5">
        <v>500</v>
      </c>
      <c r="U73" s="2">
        <v>750</v>
      </c>
      <c r="V73" s="2">
        <v>400</v>
      </c>
      <c r="W73" s="3">
        <f t="shared" si="17"/>
        <v>1533.333333333333</v>
      </c>
    </row>
    <row r="74" spans="5:25" x14ac:dyDescent="0.2">
      <c r="E74" s="4">
        <v>48458</v>
      </c>
      <c r="F74" s="3">
        <f t="shared" si="14"/>
        <v>5833.333333333333</v>
      </c>
      <c r="G74" s="2">
        <v>2500</v>
      </c>
      <c r="H74" s="5">
        <f t="shared" si="7"/>
        <v>400</v>
      </c>
      <c r="I74" s="5">
        <v>500</v>
      </c>
      <c r="J74" s="2">
        <v>750</v>
      </c>
      <c r="K74" s="2">
        <v>400</v>
      </c>
      <c r="L74" s="3">
        <f t="shared" si="15"/>
        <v>1283.333333333333</v>
      </c>
      <c r="P74" s="4">
        <v>48458</v>
      </c>
      <c r="Q74" s="3">
        <f t="shared" si="16"/>
        <v>5833.333333333333</v>
      </c>
      <c r="R74" s="2">
        <f t="shared" si="13"/>
        <v>2250</v>
      </c>
      <c r="S74" s="5">
        <f t="shared" si="8"/>
        <v>400</v>
      </c>
      <c r="T74" s="5">
        <v>500</v>
      </c>
      <c r="U74" s="2">
        <v>750</v>
      </c>
      <c r="V74" s="2">
        <v>400</v>
      </c>
      <c r="W74" s="3">
        <f t="shared" si="17"/>
        <v>1533.333333333333</v>
      </c>
    </row>
    <row r="75" spans="5:25" x14ac:dyDescent="0.2">
      <c r="E75" s="4">
        <v>48488</v>
      </c>
      <c r="F75" s="3">
        <f t="shared" si="14"/>
        <v>5833.333333333333</v>
      </c>
      <c r="G75" s="2">
        <v>2500</v>
      </c>
      <c r="H75" s="5">
        <f t="shared" si="7"/>
        <v>400</v>
      </c>
      <c r="I75" s="5">
        <v>500</v>
      </c>
      <c r="J75" s="2">
        <v>750</v>
      </c>
      <c r="K75" s="2">
        <v>400</v>
      </c>
      <c r="L75" s="3">
        <f t="shared" si="15"/>
        <v>1283.333333333333</v>
      </c>
      <c r="P75" s="4">
        <v>48488</v>
      </c>
      <c r="Q75" s="3">
        <f t="shared" si="16"/>
        <v>5833.333333333333</v>
      </c>
      <c r="R75" s="2">
        <f t="shared" si="13"/>
        <v>2250</v>
      </c>
      <c r="S75" s="5">
        <f t="shared" si="8"/>
        <v>400</v>
      </c>
      <c r="T75" s="5">
        <v>500</v>
      </c>
      <c r="U75" s="2">
        <v>750</v>
      </c>
      <c r="V75" s="2">
        <v>400</v>
      </c>
      <c r="W75" s="3">
        <f t="shared" si="17"/>
        <v>1533.333333333333</v>
      </c>
    </row>
    <row r="76" spans="5:25" x14ac:dyDescent="0.2">
      <c r="E76" s="4">
        <v>48519</v>
      </c>
      <c r="F76" s="3">
        <f t="shared" si="14"/>
        <v>5833.333333333333</v>
      </c>
      <c r="G76" s="2">
        <v>2500</v>
      </c>
      <c r="H76" s="5">
        <f t="shared" si="7"/>
        <v>450</v>
      </c>
      <c r="I76" s="5">
        <v>500</v>
      </c>
      <c r="J76" s="2">
        <v>750</v>
      </c>
      <c r="K76" s="2">
        <v>400</v>
      </c>
      <c r="L76" s="3">
        <f t="shared" si="15"/>
        <v>1233.333333333333</v>
      </c>
      <c r="P76" s="4">
        <v>48519</v>
      </c>
      <c r="Q76" s="3">
        <f t="shared" si="16"/>
        <v>5833.333333333333</v>
      </c>
      <c r="R76" s="2">
        <f t="shared" si="13"/>
        <v>2250</v>
      </c>
      <c r="S76" s="5">
        <f t="shared" si="8"/>
        <v>450</v>
      </c>
      <c r="T76" s="5">
        <v>500</v>
      </c>
      <c r="U76" s="2">
        <v>750</v>
      </c>
      <c r="V76" s="2">
        <v>400</v>
      </c>
      <c r="W76" s="3">
        <f t="shared" si="17"/>
        <v>1483.333333333333</v>
      </c>
    </row>
    <row r="77" spans="5:25" x14ac:dyDescent="0.2">
      <c r="E77" s="4">
        <v>48549</v>
      </c>
      <c r="F77" s="3">
        <f t="shared" si="14"/>
        <v>5833.333333333333</v>
      </c>
      <c r="G77" s="2">
        <v>2500</v>
      </c>
      <c r="H77" s="5">
        <f t="shared" si="7"/>
        <v>450</v>
      </c>
      <c r="I77" s="5">
        <v>500</v>
      </c>
      <c r="J77" s="2">
        <v>750</v>
      </c>
      <c r="K77" s="2">
        <v>400</v>
      </c>
      <c r="L77" s="3">
        <f t="shared" si="15"/>
        <v>1233.333333333333</v>
      </c>
      <c r="M77" t="str">
        <f t="shared" si="9"/>
        <v>2032 Total</v>
      </c>
      <c r="N77" s="3">
        <f>SUM(L66:L77)</f>
        <v>15199.999999999993</v>
      </c>
      <c r="P77" s="4">
        <v>48549</v>
      </c>
      <c r="Q77" s="3">
        <f t="shared" si="16"/>
        <v>5833.333333333333</v>
      </c>
      <c r="R77" s="2">
        <f t="shared" si="13"/>
        <v>2250</v>
      </c>
      <c r="S77" s="5">
        <f t="shared" si="8"/>
        <v>450</v>
      </c>
      <c r="T77" s="5">
        <v>500</v>
      </c>
      <c r="U77" s="2">
        <v>750</v>
      </c>
      <c r="V77" s="2">
        <v>400</v>
      </c>
      <c r="W77" s="3">
        <f t="shared" si="17"/>
        <v>1483.333333333333</v>
      </c>
      <c r="X77" t="s">
        <v>28</v>
      </c>
      <c r="Y77" s="3">
        <f>SUM(W66:W77)</f>
        <v>18199.999999999993</v>
      </c>
    </row>
    <row r="78" spans="5:25" x14ac:dyDescent="0.2">
      <c r="E78" s="4">
        <v>48580</v>
      </c>
      <c r="F78" s="3">
        <f t="shared" si="14"/>
        <v>5833.333333333333</v>
      </c>
      <c r="G78" s="2">
        <v>2750</v>
      </c>
      <c r="H78" s="5">
        <f t="shared" si="7"/>
        <v>450</v>
      </c>
      <c r="I78" s="5">
        <v>500</v>
      </c>
      <c r="J78" s="2">
        <v>750</v>
      </c>
      <c r="K78" s="2">
        <v>400</v>
      </c>
      <c r="L78" s="3">
        <f t="shared" si="15"/>
        <v>983.33333333333303</v>
      </c>
      <c r="P78" s="4">
        <v>48580</v>
      </c>
      <c r="Q78" s="3">
        <f t="shared" si="16"/>
        <v>5833.333333333333</v>
      </c>
      <c r="R78" s="2">
        <f t="shared" si="13"/>
        <v>2250</v>
      </c>
      <c r="S78" s="5">
        <f t="shared" si="8"/>
        <v>450</v>
      </c>
      <c r="T78" s="5">
        <v>500</v>
      </c>
      <c r="U78" s="2">
        <v>750</v>
      </c>
      <c r="V78" s="2">
        <v>400</v>
      </c>
      <c r="W78" s="3">
        <f t="shared" si="17"/>
        <v>1483.333333333333</v>
      </c>
    </row>
    <row r="79" spans="5:25" x14ac:dyDescent="0.2">
      <c r="E79" s="4">
        <v>48611</v>
      </c>
      <c r="F79" s="3">
        <f t="shared" si="14"/>
        <v>5833.333333333333</v>
      </c>
      <c r="G79" s="2">
        <v>2750</v>
      </c>
      <c r="H79" s="5">
        <f t="shared" si="7"/>
        <v>450</v>
      </c>
      <c r="I79" s="5">
        <v>500</v>
      </c>
      <c r="J79" s="2">
        <v>750</v>
      </c>
      <c r="K79" s="2">
        <v>400</v>
      </c>
      <c r="L79" s="3">
        <f t="shared" si="15"/>
        <v>983.33333333333303</v>
      </c>
      <c r="P79" s="4">
        <v>48611</v>
      </c>
      <c r="Q79" s="3">
        <f t="shared" si="16"/>
        <v>5833.333333333333</v>
      </c>
      <c r="R79" s="2">
        <f t="shared" si="13"/>
        <v>2250</v>
      </c>
      <c r="S79" s="5">
        <f t="shared" si="8"/>
        <v>450</v>
      </c>
      <c r="T79" s="5">
        <v>500</v>
      </c>
      <c r="U79" s="2">
        <v>750</v>
      </c>
      <c r="V79" s="2">
        <v>400</v>
      </c>
      <c r="W79" s="3">
        <f t="shared" si="17"/>
        <v>1483.333333333333</v>
      </c>
    </row>
    <row r="80" spans="5:25" x14ac:dyDescent="0.2">
      <c r="E80" s="4">
        <v>48639</v>
      </c>
      <c r="F80" s="3">
        <f t="shared" si="14"/>
        <v>5833.333333333333</v>
      </c>
      <c r="G80" s="2">
        <v>2750</v>
      </c>
      <c r="H80" s="5">
        <f t="shared" si="7"/>
        <v>400</v>
      </c>
      <c r="I80" s="5">
        <v>500</v>
      </c>
      <c r="J80" s="2">
        <v>750</v>
      </c>
      <c r="K80" s="2">
        <v>400</v>
      </c>
      <c r="L80" s="3">
        <f t="shared" si="15"/>
        <v>1033.333333333333</v>
      </c>
      <c r="P80" s="4">
        <v>48639</v>
      </c>
      <c r="Q80" s="3">
        <f t="shared" si="16"/>
        <v>5833.333333333333</v>
      </c>
      <c r="R80" s="2">
        <f t="shared" si="13"/>
        <v>2250</v>
      </c>
      <c r="S80" s="5">
        <f t="shared" si="8"/>
        <v>400</v>
      </c>
      <c r="T80" s="5">
        <v>500</v>
      </c>
      <c r="U80" s="2">
        <v>750</v>
      </c>
      <c r="V80" s="2">
        <v>400</v>
      </c>
      <c r="W80" s="3">
        <f t="shared" si="17"/>
        <v>1533.333333333333</v>
      </c>
    </row>
    <row r="81" spans="1:25" x14ac:dyDescent="0.2">
      <c r="E81" s="4">
        <v>48670</v>
      </c>
      <c r="F81" s="3">
        <f t="shared" si="14"/>
        <v>5833.333333333333</v>
      </c>
      <c r="G81" s="2">
        <v>2750</v>
      </c>
      <c r="H81" s="5">
        <f t="shared" si="7"/>
        <v>400</v>
      </c>
      <c r="I81" s="5">
        <v>500</v>
      </c>
      <c r="J81" s="2">
        <v>750</v>
      </c>
      <c r="K81" s="2">
        <v>400</v>
      </c>
      <c r="L81" s="3">
        <f t="shared" si="15"/>
        <v>1033.333333333333</v>
      </c>
      <c r="P81" s="4">
        <v>48670</v>
      </c>
      <c r="Q81" s="3">
        <f t="shared" si="16"/>
        <v>5833.333333333333</v>
      </c>
      <c r="R81" s="2">
        <f t="shared" si="13"/>
        <v>2250</v>
      </c>
      <c r="S81" s="5">
        <f t="shared" si="8"/>
        <v>400</v>
      </c>
      <c r="T81" s="5">
        <v>500</v>
      </c>
      <c r="U81" s="2">
        <v>750</v>
      </c>
      <c r="V81" s="2">
        <v>400</v>
      </c>
      <c r="W81" s="3">
        <f t="shared" si="17"/>
        <v>1533.333333333333</v>
      </c>
    </row>
    <row r="82" spans="1:25" x14ac:dyDescent="0.2">
      <c r="E82" s="4">
        <v>48700</v>
      </c>
      <c r="F82" s="3">
        <f t="shared" si="14"/>
        <v>5833.333333333333</v>
      </c>
      <c r="G82" s="2">
        <v>2750</v>
      </c>
      <c r="H82" s="5">
        <f t="shared" si="7"/>
        <v>400</v>
      </c>
      <c r="I82" s="5">
        <v>500</v>
      </c>
      <c r="J82" s="2">
        <v>750</v>
      </c>
      <c r="K82" s="2">
        <v>400</v>
      </c>
      <c r="L82" s="3">
        <f t="shared" si="15"/>
        <v>1033.333333333333</v>
      </c>
      <c r="P82" s="4">
        <v>48700</v>
      </c>
      <c r="Q82" s="3">
        <f t="shared" si="16"/>
        <v>5833.333333333333</v>
      </c>
      <c r="R82" s="2">
        <f t="shared" si="13"/>
        <v>2250</v>
      </c>
      <c r="S82" s="5">
        <f t="shared" si="8"/>
        <v>400</v>
      </c>
      <c r="T82" s="5">
        <v>500</v>
      </c>
      <c r="U82" s="2">
        <v>750</v>
      </c>
      <c r="V82" s="2">
        <v>400</v>
      </c>
      <c r="W82" s="3">
        <f t="shared" si="17"/>
        <v>1533.333333333333</v>
      </c>
    </row>
    <row r="83" spans="1:25" x14ac:dyDescent="0.2">
      <c r="E83" s="4">
        <v>48731</v>
      </c>
      <c r="F83" s="3">
        <f t="shared" si="14"/>
        <v>5833.333333333333</v>
      </c>
      <c r="G83" s="2">
        <v>2750</v>
      </c>
      <c r="H83" s="5">
        <f t="shared" ref="H83:H137" si="18">H71</f>
        <v>400</v>
      </c>
      <c r="I83" s="5">
        <v>500</v>
      </c>
      <c r="J83" s="2">
        <v>750</v>
      </c>
      <c r="K83" s="2">
        <v>400</v>
      </c>
      <c r="L83" s="3">
        <f t="shared" si="15"/>
        <v>1033.333333333333</v>
      </c>
      <c r="P83" s="4">
        <v>48731</v>
      </c>
      <c r="Q83" s="3">
        <f t="shared" si="16"/>
        <v>5833.333333333333</v>
      </c>
      <c r="R83" s="2">
        <f t="shared" si="13"/>
        <v>2250</v>
      </c>
      <c r="S83" s="5">
        <f t="shared" ref="S83:S137" si="19">S71</f>
        <v>400</v>
      </c>
      <c r="T83" s="5">
        <v>500</v>
      </c>
      <c r="U83" s="2">
        <v>750</v>
      </c>
      <c r="V83" s="2">
        <v>400</v>
      </c>
      <c r="W83" s="3">
        <f t="shared" si="17"/>
        <v>1533.333333333333</v>
      </c>
    </row>
    <row r="84" spans="1:25" x14ac:dyDescent="0.2">
      <c r="E84" s="4">
        <v>48761</v>
      </c>
      <c r="F84" s="3">
        <f t="shared" si="14"/>
        <v>5833.333333333333</v>
      </c>
      <c r="G84" s="2">
        <v>2750</v>
      </c>
      <c r="H84" s="5">
        <f t="shared" si="18"/>
        <v>400</v>
      </c>
      <c r="I84" s="5">
        <v>500</v>
      </c>
      <c r="J84" s="2">
        <v>750</v>
      </c>
      <c r="K84" s="2">
        <v>400</v>
      </c>
      <c r="L84" s="3">
        <f t="shared" si="15"/>
        <v>1033.333333333333</v>
      </c>
      <c r="P84" s="4">
        <v>48761</v>
      </c>
      <c r="Q84" s="3">
        <f t="shared" si="16"/>
        <v>5833.333333333333</v>
      </c>
      <c r="R84" s="2">
        <f t="shared" si="13"/>
        <v>2250</v>
      </c>
      <c r="S84" s="5">
        <f t="shared" si="19"/>
        <v>400</v>
      </c>
      <c r="T84" s="5">
        <v>500</v>
      </c>
      <c r="U84" s="2">
        <v>750</v>
      </c>
      <c r="V84" s="2">
        <v>400</v>
      </c>
      <c r="W84" s="3">
        <f t="shared" si="17"/>
        <v>1533.333333333333</v>
      </c>
    </row>
    <row r="85" spans="1:25" x14ac:dyDescent="0.2">
      <c r="E85" s="4">
        <v>48792</v>
      </c>
      <c r="F85" s="3">
        <f t="shared" si="14"/>
        <v>5833.333333333333</v>
      </c>
      <c r="G85" s="2">
        <v>2750</v>
      </c>
      <c r="H85" s="5">
        <f t="shared" si="18"/>
        <v>400</v>
      </c>
      <c r="I85" s="5">
        <v>500</v>
      </c>
      <c r="J85" s="2">
        <v>750</v>
      </c>
      <c r="K85" s="2">
        <v>400</v>
      </c>
      <c r="L85" s="3">
        <f t="shared" si="15"/>
        <v>1033.333333333333</v>
      </c>
      <c r="P85" s="4">
        <v>48792</v>
      </c>
      <c r="Q85" s="3">
        <f t="shared" si="16"/>
        <v>5833.333333333333</v>
      </c>
      <c r="R85" s="2">
        <f t="shared" si="13"/>
        <v>2250</v>
      </c>
      <c r="S85" s="5">
        <f t="shared" si="19"/>
        <v>400</v>
      </c>
      <c r="T85" s="5">
        <v>500</v>
      </c>
      <c r="U85" s="2">
        <v>750</v>
      </c>
      <c r="V85" s="2">
        <v>400</v>
      </c>
      <c r="W85" s="3">
        <f t="shared" si="17"/>
        <v>1533.333333333333</v>
      </c>
    </row>
    <row r="86" spans="1:25" x14ac:dyDescent="0.2">
      <c r="E86" s="4">
        <v>48823</v>
      </c>
      <c r="F86" s="3">
        <f t="shared" si="14"/>
        <v>5833.333333333333</v>
      </c>
      <c r="G86" s="2">
        <v>2750</v>
      </c>
      <c r="H86" s="5">
        <f t="shared" si="18"/>
        <v>400</v>
      </c>
      <c r="I86" s="5">
        <v>500</v>
      </c>
      <c r="J86" s="2">
        <v>750</v>
      </c>
      <c r="K86" s="2">
        <v>400</v>
      </c>
      <c r="L86" s="3">
        <f t="shared" si="15"/>
        <v>1033.333333333333</v>
      </c>
      <c r="P86" s="4">
        <v>48823</v>
      </c>
      <c r="Q86" s="3">
        <f t="shared" si="16"/>
        <v>5833.333333333333</v>
      </c>
      <c r="R86" s="2">
        <f t="shared" si="13"/>
        <v>2250</v>
      </c>
      <c r="S86" s="5">
        <f t="shared" si="19"/>
        <v>400</v>
      </c>
      <c r="T86" s="5">
        <v>500</v>
      </c>
      <c r="U86" s="2">
        <v>750</v>
      </c>
      <c r="V86" s="2">
        <v>400</v>
      </c>
      <c r="W86" s="3">
        <f t="shared" si="17"/>
        <v>1533.333333333333</v>
      </c>
    </row>
    <row r="87" spans="1:25" x14ac:dyDescent="0.2">
      <c r="E87" s="4">
        <v>48853</v>
      </c>
      <c r="F87" s="3">
        <f t="shared" si="14"/>
        <v>5833.333333333333</v>
      </c>
      <c r="G87" s="2">
        <v>2750</v>
      </c>
      <c r="H87" s="5">
        <f t="shared" si="18"/>
        <v>400</v>
      </c>
      <c r="I87" s="5">
        <v>500</v>
      </c>
      <c r="J87" s="2">
        <v>750</v>
      </c>
      <c r="K87" s="2">
        <v>400</v>
      </c>
      <c r="L87" s="3">
        <f t="shared" si="15"/>
        <v>1033.333333333333</v>
      </c>
      <c r="P87" s="4">
        <v>48853</v>
      </c>
      <c r="Q87" s="3">
        <f t="shared" si="16"/>
        <v>5833.333333333333</v>
      </c>
      <c r="R87" s="2">
        <f t="shared" si="13"/>
        <v>2250</v>
      </c>
      <c r="S87" s="5">
        <f t="shared" si="19"/>
        <v>400</v>
      </c>
      <c r="T87" s="5">
        <v>500</v>
      </c>
      <c r="U87" s="2">
        <v>750</v>
      </c>
      <c r="V87" s="2">
        <v>400</v>
      </c>
      <c r="W87" s="3">
        <f t="shared" si="17"/>
        <v>1533.333333333333</v>
      </c>
    </row>
    <row r="88" spans="1:25" x14ac:dyDescent="0.2">
      <c r="E88" s="4">
        <v>48884</v>
      </c>
      <c r="F88" s="3">
        <f t="shared" si="14"/>
        <v>5833.333333333333</v>
      </c>
      <c r="G88" s="2">
        <v>2750</v>
      </c>
      <c r="H88" s="5">
        <f t="shared" si="18"/>
        <v>450</v>
      </c>
      <c r="I88" s="5">
        <v>500</v>
      </c>
      <c r="J88" s="2">
        <v>750</v>
      </c>
      <c r="K88" s="2">
        <v>400</v>
      </c>
      <c r="L88" s="3">
        <f t="shared" si="15"/>
        <v>983.33333333333303</v>
      </c>
      <c r="P88" s="4">
        <v>48884</v>
      </c>
      <c r="Q88" s="3">
        <f t="shared" si="16"/>
        <v>5833.333333333333</v>
      </c>
      <c r="R88" s="2">
        <f t="shared" si="13"/>
        <v>2250</v>
      </c>
      <c r="S88" s="5">
        <f t="shared" si="19"/>
        <v>450</v>
      </c>
      <c r="T88" s="5">
        <v>500</v>
      </c>
      <c r="U88" s="2">
        <v>750</v>
      </c>
      <c r="V88" s="2">
        <v>400</v>
      </c>
      <c r="W88" s="3">
        <f t="shared" si="17"/>
        <v>1483.333333333333</v>
      </c>
    </row>
    <row r="89" spans="1:25" x14ac:dyDescent="0.2">
      <c r="E89" s="4">
        <v>48914</v>
      </c>
      <c r="F89" s="3">
        <f t="shared" si="14"/>
        <v>5833.333333333333</v>
      </c>
      <c r="G89" s="2">
        <v>2750</v>
      </c>
      <c r="H89" s="5">
        <f t="shared" si="18"/>
        <v>450</v>
      </c>
      <c r="I89" s="5">
        <v>500</v>
      </c>
      <c r="J89" s="2">
        <v>750</v>
      </c>
      <c r="K89" s="2">
        <v>400</v>
      </c>
      <c r="L89" s="3">
        <f t="shared" si="15"/>
        <v>983.33333333333303</v>
      </c>
      <c r="M89" t="str">
        <f t="shared" ref="M89:M137" si="20">X89</f>
        <v>2033 Total</v>
      </c>
      <c r="N89" s="3">
        <f>SUM(L78:L89)</f>
        <v>12199.999999999993</v>
      </c>
      <c r="P89" s="4">
        <v>48914</v>
      </c>
      <c r="Q89" s="3">
        <f t="shared" si="16"/>
        <v>5833.333333333333</v>
      </c>
      <c r="R89" s="2">
        <f>2500</f>
        <v>2500</v>
      </c>
      <c r="S89" s="5">
        <f t="shared" si="19"/>
        <v>450</v>
      </c>
      <c r="T89" s="5">
        <v>500</v>
      </c>
      <c r="U89" s="2">
        <v>750</v>
      </c>
      <c r="V89" s="2">
        <v>400</v>
      </c>
      <c r="W89" s="3">
        <f t="shared" si="17"/>
        <v>1233.333333333333</v>
      </c>
      <c r="X89" t="s">
        <v>29</v>
      </c>
      <c r="Y89" s="3">
        <f>SUM(W78:W89)</f>
        <v>17949.999999999993</v>
      </c>
    </row>
    <row r="90" spans="1:25" x14ac:dyDescent="0.2">
      <c r="A90" t="s">
        <v>17</v>
      </c>
      <c r="B90" s="2">
        <v>90000</v>
      </c>
      <c r="E90" s="4">
        <v>48945</v>
      </c>
      <c r="F90" s="2">
        <f>B90/12</f>
        <v>7500</v>
      </c>
      <c r="G90" s="2">
        <v>2750</v>
      </c>
      <c r="H90" s="5">
        <f t="shared" si="18"/>
        <v>450</v>
      </c>
      <c r="I90" s="5">
        <v>500</v>
      </c>
      <c r="J90" s="2">
        <v>750</v>
      </c>
      <c r="K90" s="2">
        <v>400</v>
      </c>
      <c r="L90" s="3">
        <f t="shared" si="15"/>
        <v>2650</v>
      </c>
      <c r="P90" s="4">
        <v>48945</v>
      </c>
      <c r="Q90" s="2">
        <f>F90</f>
        <v>7500</v>
      </c>
      <c r="R90" s="2">
        <f>2500</f>
        <v>2500</v>
      </c>
      <c r="S90" s="5">
        <f t="shared" si="19"/>
        <v>450</v>
      </c>
      <c r="T90" s="5">
        <v>500</v>
      </c>
      <c r="U90" s="2">
        <v>750</v>
      </c>
      <c r="V90" s="2">
        <v>400</v>
      </c>
      <c r="W90" s="3">
        <f t="shared" si="17"/>
        <v>2900</v>
      </c>
    </row>
    <row r="91" spans="1:25" x14ac:dyDescent="0.2">
      <c r="E91" s="4">
        <v>48976</v>
      </c>
      <c r="F91" s="2">
        <f>$F$90</f>
        <v>7500</v>
      </c>
      <c r="G91" s="2">
        <v>2750</v>
      </c>
      <c r="H91" s="5">
        <f t="shared" si="18"/>
        <v>450</v>
      </c>
      <c r="I91" s="5">
        <v>500</v>
      </c>
      <c r="J91" s="2">
        <v>750</v>
      </c>
      <c r="K91" s="2">
        <v>400</v>
      </c>
      <c r="L91" s="3">
        <f t="shared" si="15"/>
        <v>2650</v>
      </c>
      <c r="P91" s="4">
        <v>48976</v>
      </c>
      <c r="Q91" s="2">
        <f>$F$90</f>
        <v>7500</v>
      </c>
      <c r="R91" s="2">
        <f>2500</f>
        <v>2500</v>
      </c>
      <c r="S91" s="5">
        <f t="shared" si="19"/>
        <v>450</v>
      </c>
      <c r="T91" s="5">
        <v>500</v>
      </c>
      <c r="U91" s="2">
        <v>750</v>
      </c>
      <c r="V91" s="2">
        <v>400</v>
      </c>
      <c r="W91" s="3">
        <f t="shared" si="17"/>
        <v>2900</v>
      </c>
    </row>
    <row r="92" spans="1:25" x14ac:dyDescent="0.2">
      <c r="E92" s="4">
        <v>49004</v>
      </c>
      <c r="F92" s="2">
        <f t="shared" ref="F92:F137" si="21">$F$90</f>
        <v>7500</v>
      </c>
      <c r="G92" s="2">
        <v>2750</v>
      </c>
      <c r="H92" s="5">
        <f t="shared" si="18"/>
        <v>400</v>
      </c>
      <c r="I92" s="5">
        <v>500</v>
      </c>
      <c r="J92" s="2">
        <v>750</v>
      </c>
      <c r="K92" s="2">
        <v>400</v>
      </c>
      <c r="L92" s="3">
        <f t="shared" si="15"/>
        <v>2700</v>
      </c>
      <c r="P92" s="4">
        <v>49004</v>
      </c>
      <c r="Q92" s="2">
        <f t="shared" ref="Q92:Q137" si="22">$F$90</f>
        <v>7500</v>
      </c>
      <c r="R92" s="2">
        <f>2500</f>
        <v>2500</v>
      </c>
      <c r="S92" s="5">
        <f t="shared" si="19"/>
        <v>400</v>
      </c>
      <c r="T92" s="5">
        <v>500</v>
      </c>
      <c r="U92" s="2">
        <v>750</v>
      </c>
      <c r="V92" s="2">
        <v>400</v>
      </c>
      <c r="W92" s="3">
        <f t="shared" si="17"/>
        <v>2950</v>
      </c>
    </row>
    <row r="93" spans="1:25" x14ac:dyDescent="0.2">
      <c r="E93" s="4">
        <v>49035</v>
      </c>
      <c r="F93" s="2">
        <f t="shared" si="21"/>
        <v>7500</v>
      </c>
      <c r="G93" s="2">
        <v>2750</v>
      </c>
      <c r="H93" s="5">
        <f t="shared" si="18"/>
        <v>400</v>
      </c>
      <c r="I93" s="5">
        <v>500</v>
      </c>
      <c r="J93" s="2">
        <v>750</v>
      </c>
      <c r="K93" s="2">
        <v>400</v>
      </c>
      <c r="L93" s="3">
        <f t="shared" si="15"/>
        <v>2700</v>
      </c>
      <c r="P93" s="4">
        <v>49035</v>
      </c>
      <c r="Q93" s="2">
        <f t="shared" si="22"/>
        <v>7500</v>
      </c>
      <c r="R93" s="2">
        <f>2500</f>
        <v>2500</v>
      </c>
      <c r="S93" s="5">
        <f t="shared" si="19"/>
        <v>400</v>
      </c>
      <c r="T93" s="5">
        <v>500</v>
      </c>
      <c r="U93" s="2">
        <v>750</v>
      </c>
      <c r="V93" s="2">
        <v>400</v>
      </c>
      <c r="W93" s="3">
        <f t="shared" si="17"/>
        <v>2950</v>
      </c>
    </row>
    <row r="94" spans="1:25" x14ac:dyDescent="0.2">
      <c r="E94" s="4">
        <v>49065</v>
      </c>
      <c r="F94" s="2">
        <f t="shared" si="21"/>
        <v>7500</v>
      </c>
      <c r="G94" s="2">
        <v>2750</v>
      </c>
      <c r="H94" s="5">
        <f t="shared" si="18"/>
        <v>400</v>
      </c>
      <c r="I94" s="5">
        <v>500</v>
      </c>
      <c r="J94" s="2">
        <v>750</v>
      </c>
      <c r="K94" s="2">
        <v>400</v>
      </c>
      <c r="L94" s="3">
        <f t="shared" si="15"/>
        <v>2700</v>
      </c>
      <c r="P94" s="4">
        <v>49065</v>
      </c>
      <c r="Q94" s="2">
        <f t="shared" si="22"/>
        <v>7500</v>
      </c>
      <c r="R94" s="2">
        <f>2500</f>
        <v>2500</v>
      </c>
      <c r="S94" s="5">
        <f t="shared" si="19"/>
        <v>400</v>
      </c>
      <c r="T94" s="5">
        <v>500</v>
      </c>
      <c r="U94" s="2">
        <v>750</v>
      </c>
      <c r="V94" s="2">
        <v>400</v>
      </c>
      <c r="W94" s="3">
        <f t="shared" si="17"/>
        <v>2950</v>
      </c>
    </row>
    <row r="95" spans="1:25" x14ac:dyDescent="0.2">
      <c r="E95" s="4">
        <v>49096</v>
      </c>
      <c r="F95" s="2">
        <f t="shared" si="21"/>
        <v>7500</v>
      </c>
      <c r="G95" s="2">
        <v>2750</v>
      </c>
      <c r="H95" s="5">
        <f t="shared" si="18"/>
        <v>400</v>
      </c>
      <c r="I95" s="5">
        <v>500</v>
      </c>
      <c r="J95" s="2">
        <v>750</v>
      </c>
      <c r="K95" s="2">
        <v>400</v>
      </c>
      <c r="L95" s="3">
        <f t="shared" si="15"/>
        <v>2700</v>
      </c>
      <c r="P95" s="4">
        <v>49096</v>
      </c>
      <c r="Q95" s="2">
        <f t="shared" si="22"/>
        <v>7500</v>
      </c>
      <c r="R95" s="2">
        <f>2500</f>
        <v>2500</v>
      </c>
      <c r="S95" s="5">
        <f t="shared" si="19"/>
        <v>400</v>
      </c>
      <c r="T95" s="5">
        <v>500</v>
      </c>
      <c r="U95" s="2">
        <v>750</v>
      </c>
      <c r="V95" s="2">
        <v>400</v>
      </c>
      <c r="W95" s="3">
        <f t="shared" si="17"/>
        <v>2950</v>
      </c>
    </row>
    <row r="96" spans="1:25" x14ac:dyDescent="0.2">
      <c r="E96" s="4">
        <v>49126</v>
      </c>
      <c r="F96" s="2">
        <f t="shared" si="21"/>
        <v>7500</v>
      </c>
      <c r="G96" s="2">
        <v>2750</v>
      </c>
      <c r="H96" s="5">
        <f t="shared" si="18"/>
        <v>400</v>
      </c>
      <c r="I96" s="5">
        <v>500</v>
      </c>
      <c r="J96" s="2">
        <v>750</v>
      </c>
      <c r="K96" s="2">
        <v>400</v>
      </c>
      <c r="L96" s="3">
        <f t="shared" si="15"/>
        <v>2700</v>
      </c>
      <c r="P96" s="4">
        <v>49126</v>
      </c>
      <c r="Q96" s="2">
        <f t="shared" si="22"/>
        <v>7500</v>
      </c>
      <c r="R96" s="2">
        <f>2500</f>
        <v>2500</v>
      </c>
      <c r="S96" s="5">
        <f t="shared" si="19"/>
        <v>400</v>
      </c>
      <c r="T96" s="5">
        <v>500</v>
      </c>
      <c r="U96" s="2">
        <v>750</v>
      </c>
      <c r="V96" s="2">
        <v>400</v>
      </c>
      <c r="W96" s="3">
        <f t="shared" si="17"/>
        <v>2950</v>
      </c>
    </row>
    <row r="97" spans="5:25" x14ac:dyDescent="0.2">
      <c r="E97" s="4">
        <v>49157</v>
      </c>
      <c r="F97" s="2">
        <f t="shared" si="21"/>
        <v>7500</v>
      </c>
      <c r="G97" s="2">
        <v>2750</v>
      </c>
      <c r="H97" s="5">
        <f t="shared" si="18"/>
        <v>400</v>
      </c>
      <c r="I97" s="5">
        <v>500</v>
      </c>
      <c r="J97" s="2">
        <v>750</v>
      </c>
      <c r="K97" s="2">
        <v>400</v>
      </c>
      <c r="L97" s="3">
        <f t="shared" si="15"/>
        <v>2700</v>
      </c>
      <c r="P97" s="4">
        <v>49157</v>
      </c>
      <c r="Q97" s="2">
        <f t="shared" si="22"/>
        <v>7500</v>
      </c>
      <c r="R97" s="2">
        <f>2500</f>
        <v>2500</v>
      </c>
      <c r="S97" s="5">
        <f t="shared" si="19"/>
        <v>400</v>
      </c>
      <c r="T97" s="5">
        <v>500</v>
      </c>
      <c r="U97" s="2">
        <v>750</v>
      </c>
      <c r="V97" s="2">
        <v>400</v>
      </c>
      <c r="W97" s="3">
        <f t="shared" si="17"/>
        <v>2950</v>
      </c>
    </row>
    <row r="98" spans="5:25" x14ac:dyDescent="0.2">
      <c r="E98" s="4">
        <v>49188</v>
      </c>
      <c r="F98" s="2">
        <f t="shared" si="21"/>
        <v>7500</v>
      </c>
      <c r="G98" s="2">
        <v>2750</v>
      </c>
      <c r="H98" s="5">
        <f t="shared" si="18"/>
        <v>400</v>
      </c>
      <c r="I98" s="5">
        <v>500</v>
      </c>
      <c r="J98" s="2">
        <v>750</v>
      </c>
      <c r="K98" s="2">
        <v>400</v>
      </c>
      <c r="L98" s="3">
        <f t="shared" si="15"/>
        <v>2700</v>
      </c>
      <c r="P98" s="4">
        <v>49188</v>
      </c>
      <c r="Q98" s="2">
        <f t="shared" si="22"/>
        <v>7500</v>
      </c>
      <c r="R98" s="2">
        <f>2500</f>
        <v>2500</v>
      </c>
      <c r="S98" s="5">
        <f t="shared" si="19"/>
        <v>400</v>
      </c>
      <c r="T98" s="5">
        <v>500</v>
      </c>
      <c r="U98" s="2">
        <v>750</v>
      </c>
      <c r="V98" s="2">
        <v>400</v>
      </c>
      <c r="W98" s="3">
        <f t="shared" si="17"/>
        <v>2950</v>
      </c>
    </row>
    <row r="99" spans="5:25" x14ac:dyDescent="0.2">
      <c r="E99" s="4">
        <v>49218</v>
      </c>
      <c r="F99" s="2">
        <f t="shared" si="21"/>
        <v>7500</v>
      </c>
      <c r="G99" s="2">
        <v>2750</v>
      </c>
      <c r="H99" s="5">
        <f t="shared" si="18"/>
        <v>400</v>
      </c>
      <c r="I99" s="5">
        <v>500</v>
      </c>
      <c r="J99" s="2">
        <v>750</v>
      </c>
      <c r="K99" s="2">
        <v>400</v>
      </c>
      <c r="L99" s="3">
        <f t="shared" si="15"/>
        <v>2700</v>
      </c>
      <c r="P99" s="4">
        <v>49218</v>
      </c>
      <c r="Q99" s="2">
        <f t="shared" si="22"/>
        <v>7500</v>
      </c>
      <c r="R99" s="2">
        <f>2500</f>
        <v>2500</v>
      </c>
      <c r="S99" s="5">
        <f t="shared" si="19"/>
        <v>400</v>
      </c>
      <c r="T99" s="5">
        <v>500</v>
      </c>
      <c r="U99" s="2">
        <v>750</v>
      </c>
      <c r="V99" s="2">
        <v>400</v>
      </c>
      <c r="W99" s="3">
        <f t="shared" si="17"/>
        <v>2950</v>
      </c>
    </row>
    <row r="100" spans="5:25" x14ac:dyDescent="0.2">
      <c r="E100" s="4">
        <v>49249</v>
      </c>
      <c r="F100" s="2">
        <f t="shared" si="21"/>
        <v>7500</v>
      </c>
      <c r="G100" s="2">
        <v>2750</v>
      </c>
      <c r="H100" s="5">
        <f t="shared" si="18"/>
        <v>450</v>
      </c>
      <c r="I100" s="5">
        <v>500</v>
      </c>
      <c r="J100" s="2">
        <v>750</v>
      </c>
      <c r="K100" s="2">
        <v>400</v>
      </c>
      <c r="L100" s="3">
        <f t="shared" si="15"/>
        <v>2650</v>
      </c>
      <c r="P100" s="4">
        <v>49249</v>
      </c>
      <c r="Q100" s="2">
        <f t="shared" si="22"/>
        <v>7500</v>
      </c>
      <c r="R100" s="2">
        <f>2500</f>
        <v>2500</v>
      </c>
      <c r="S100" s="5">
        <f t="shared" si="19"/>
        <v>450</v>
      </c>
      <c r="T100" s="5">
        <v>500</v>
      </c>
      <c r="U100" s="2">
        <v>750</v>
      </c>
      <c r="V100" s="2">
        <v>400</v>
      </c>
      <c r="W100" s="3">
        <f t="shared" si="17"/>
        <v>2900</v>
      </c>
    </row>
    <row r="101" spans="5:25" x14ac:dyDescent="0.2">
      <c r="E101" s="4">
        <v>49279</v>
      </c>
      <c r="F101" s="2">
        <f t="shared" si="21"/>
        <v>7500</v>
      </c>
      <c r="G101" s="2">
        <v>2750</v>
      </c>
      <c r="H101" s="5">
        <f t="shared" si="18"/>
        <v>450</v>
      </c>
      <c r="I101" s="5">
        <v>500</v>
      </c>
      <c r="J101" s="2">
        <v>750</v>
      </c>
      <c r="K101" s="2">
        <v>400</v>
      </c>
      <c r="L101" s="3">
        <f t="shared" si="15"/>
        <v>2650</v>
      </c>
      <c r="M101" t="str">
        <f t="shared" si="20"/>
        <v>2034 total</v>
      </c>
      <c r="N101" s="3">
        <f>SUM(L90:L101)</f>
        <v>32200</v>
      </c>
      <c r="P101" s="4">
        <v>49279</v>
      </c>
      <c r="Q101" s="2">
        <f t="shared" si="22"/>
        <v>7500</v>
      </c>
      <c r="R101" s="2">
        <f>2500</f>
        <v>2500</v>
      </c>
      <c r="S101" s="5">
        <f t="shared" si="19"/>
        <v>450</v>
      </c>
      <c r="T101" s="5">
        <v>500</v>
      </c>
      <c r="U101" s="2">
        <v>750</v>
      </c>
      <c r="V101" s="2">
        <v>400</v>
      </c>
      <c r="W101" s="3">
        <f t="shared" si="17"/>
        <v>2900</v>
      </c>
      <c r="X101" t="s">
        <v>30</v>
      </c>
      <c r="Y101" s="3">
        <f>SUM(W90:W101)</f>
        <v>35200</v>
      </c>
    </row>
    <row r="102" spans="5:25" x14ac:dyDescent="0.2">
      <c r="E102" s="4">
        <v>49310</v>
      </c>
      <c r="F102" s="2">
        <f t="shared" si="21"/>
        <v>7500</v>
      </c>
      <c r="G102" s="2">
        <v>3000</v>
      </c>
      <c r="H102" s="5">
        <f t="shared" si="18"/>
        <v>450</v>
      </c>
      <c r="I102" s="5">
        <v>500</v>
      </c>
      <c r="J102" s="2">
        <v>750</v>
      </c>
      <c r="K102" s="2">
        <v>400</v>
      </c>
      <c r="L102" s="3">
        <f t="shared" si="15"/>
        <v>2400</v>
      </c>
      <c r="P102" s="4">
        <v>49310</v>
      </c>
      <c r="Q102" s="2">
        <f t="shared" si="22"/>
        <v>7500</v>
      </c>
      <c r="R102" s="2">
        <v>2750</v>
      </c>
      <c r="S102" s="5">
        <f t="shared" si="19"/>
        <v>450</v>
      </c>
      <c r="T102" s="5">
        <v>500</v>
      </c>
      <c r="U102" s="2">
        <v>750</v>
      </c>
      <c r="V102" s="2">
        <v>400</v>
      </c>
      <c r="W102" s="3">
        <f t="shared" si="17"/>
        <v>2650</v>
      </c>
    </row>
    <row r="103" spans="5:25" x14ac:dyDescent="0.2">
      <c r="E103" s="4">
        <v>49341</v>
      </c>
      <c r="F103" s="2">
        <f t="shared" si="21"/>
        <v>7500</v>
      </c>
      <c r="G103" s="2">
        <v>3000</v>
      </c>
      <c r="H103" s="5">
        <f t="shared" si="18"/>
        <v>450</v>
      </c>
      <c r="I103" s="5">
        <v>500</v>
      </c>
      <c r="J103" s="2">
        <v>750</v>
      </c>
      <c r="K103" s="2">
        <v>400</v>
      </c>
      <c r="L103" s="3">
        <f t="shared" si="15"/>
        <v>2400</v>
      </c>
      <c r="P103" s="4">
        <v>49341</v>
      </c>
      <c r="Q103" s="2">
        <f t="shared" si="22"/>
        <v>7500</v>
      </c>
      <c r="R103" s="2">
        <v>2750</v>
      </c>
      <c r="S103" s="5">
        <f t="shared" si="19"/>
        <v>450</v>
      </c>
      <c r="T103" s="5">
        <v>500</v>
      </c>
      <c r="U103" s="2">
        <v>750</v>
      </c>
      <c r="V103" s="2">
        <v>400</v>
      </c>
      <c r="W103" s="3">
        <f t="shared" si="17"/>
        <v>2650</v>
      </c>
    </row>
    <row r="104" spans="5:25" x14ac:dyDescent="0.2">
      <c r="E104" s="4">
        <v>49369</v>
      </c>
      <c r="F104" s="2">
        <f t="shared" si="21"/>
        <v>7500</v>
      </c>
      <c r="G104" s="2">
        <v>3000</v>
      </c>
      <c r="H104" s="5">
        <f t="shared" si="18"/>
        <v>400</v>
      </c>
      <c r="I104" s="5">
        <v>500</v>
      </c>
      <c r="J104" s="2">
        <v>750</v>
      </c>
      <c r="K104" s="2">
        <v>400</v>
      </c>
      <c r="L104" s="3">
        <f t="shared" si="15"/>
        <v>2450</v>
      </c>
      <c r="P104" s="4">
        <v>49369</v>
      </c>
      <c r="Q104" s="2">
        <f t="shared" si="22"/>
        <v>7500</v>
      </c>
      <c r="R104" s="2">
        <v>2750</v>
      </c>
      <c r="S104" s="5">
        <f t="shared" si="19"/>
        <v>400</v>
      </c>
      <c r="T104" s="5">
        <v>500</v>
      </c>
      <c r="U104" s="2">
        <v>750</v>
      </c>
      <c r="V104" s="2">
        <v>400</v>
      </c>
      <c r="W104" s="3">
        <f t="shared" si="17"/>
        <v>2700</v>
      </c>
    </row>
    <row r="105" spans="5:25" x14ac:dyDescent="0.2">
      <c r="E105" s="4">
        <v>49400</v>
      </c>
      <c r="F105" s="2">
        <f t="shared" si="21"/>
        <v>7500</v>
      </c>
      <c r="G105" s="2">
        <v>3000</v>
      </c>
      <c r="H105" s="5">
        <f t="shared" si="18"/>
        <v>400</v>
      </c>
      <c r="I105" s="5">
        <v>500</v>
      </c>
      <c r="J105" s="2">
        <v>750</v>
      </c>
      <c r="K105" s="2">
        <v>400</v>
      </c>
      <c r="L105" s="3">
        <f t="shared" si="15"/>
        <v>2450</v>
      </c>
      <c r="P105" s="4">
        <v>49400</v>
      </c>
      <c r="Q105" s="2">
        <f t="shared" si="22"/>
        <v>7500</v>
      </c>
      <c r="R105" s="2">
        <v>2750</v>
      </c>
      <c r="S105" s="5">
        <f t="shared" si="19"/>
        <v>400</v>
      </c>
      <c r="T105" s="5">
        <v>500</v>
      </c>
      <c r="U105" s="2">
        <v>750</v>
      </c>
      <c r="V105" s="2">
        <v>400</v>
      </c>
      <c r="W105" s="3">
        <f t="shared" si="17"/>
        <v>2700</v>
      </c>
    </row>
    <row r="106" spans="5:25" x14ac:dyDescent="0.2">
      <c r="E106" s="4">
        <v>49430</v>
      </c>
      <c r="F106" s="2">
        <f t="shared" si="21"/>
        <v>7500</v>
      </c>
      <c r="G106" s="2">
        <v>3000</v>
      </c>
      <c r="H106" s="5">
        <f t="shared" si="18"/>
        <v>400</v>
      </c>
      <c r="I106" s="5">
        <v>500</v>
      </c>
      <c r="J106" s="2">
        <v>750</v>
      </c>
      <c r="K106" s="2">
        <v>400</v>
      </c>
      <c r="L106" s="3">
        <f t="shared" si="15"/>
        <v>2450</v>
      </c>
      <c r="P106" s="4">
        <v>49430</v>
      </c>
      <c r="Q106" s="2">
        <f t="shared" si="22"/>
        <v>7500</v>
      </c>
      <c r="R106" s="2">
        <v>2750</v>
      </c>
      <c r="S106" s="5">
        <f t="shared" si="19"/>
        <v>400</v>
      </c>
      <c r="T106" s="5">
        <v>500</v>
      </c>
      <c r="U106" s="2">
        <v>750</v>
      </c>
      <c r="V106" s="2">
        <v>400</v>
      </c>
      <c r="W106" s="3">
        <f t="shared" si="17"/>
        <v>2700</v>
      </c>
    </row>
    <row r="107" spans="5:25" x14ac:dyDescent="0.2">
      <c r="E107" s="4">
        <v>49461</v>
      </c>
      <c r="F107" s="2">
        <f t="shared" si="21"/>
        <v>7500</v>
      </c>
      <c r="G107" s="2">
        <v>3000</v>
      </c>
      <c r="H107" s="5">
        <f t="shared" si="18"/>
        <v>400</v>
      </c>
      <c r="I107" s="5">
        <v>500</v>
      </c>
      <c r="J107" s="2">
        <v>750</v>
      </c>
      <c r="K107" s="2">
        <v>400</v>
      </c>
      <c r="L107" s="3">
        <f t="shared" si="15"/>
        <v>2450</v>
      </c>
      <c r="P107" s="4">
        <v>49461</v>
      </c>
      <c r="Q107" s="2">
        <f t="shared" si="22"/>
        <v>7500</v>
      </c>
      <c r="R107" s="2">
        <v>2750</v>
      </c>
      <c r="S107" s="5">
        <f t="shared" si="19"/>
        <v>400</v>
      </c>
      <c r="T107" s="5">
        <v>500</v>
      </c>
      <c r="U107" s="2">
        <v>750</v>
      </c>
      <c r="V107" s="2">
        <v>400</v>
      </c>
      <c r="W107" s="3">
        <f t="shared" si="17"/>
        <v>2700</v>
      </c>
    </row>
    <row r="108" spans="5:25" x14ac:dyDescent="0.2">
      <c r="E108" s="4">
        <v>49491</v>
      </c>
      <c r="F108" s="2">
        <f t="shared" si="21"/>
        <v>7500</v>
      </c>
      <c r="G108" s="2">
        <v>3000</v>
      </c>
      <c r="H108" s="5">
        <f t="shared" si="18"/>
        <v>400</v>
      </c>
      <c r="I108" s="5">
        <v>500</v>
      </c>
      <c r="J108" s="2">
        <v>750</v>
      </c>
      <c r="K108" s="2">
        <v>400</v>
      </c>
      <c r="L108" s="3">
        <f t="shared" si="15"/>
        <v>2450</v>
      </c>
      <c r="P108" s="4">
        <v>49491</v>
      </c>
      <c r="Q108" s="2">
        <f t="shared" si="22"/>
        <v>7500</v>
      </c>
      <c r="R108" s="2">
        <v>2750</v>
      </c>
      <c r="S108" s="5">
        <f t="shared" si="19"/>
        <v>400</v>
      </c>
      <c r="T108" s="5">
        <v>500</v>
      </c>
      <c r="U108" s="2">
        <v>750</v>
      </c>
      <c r="V108" s="2">
        <v>400</v>
      </c>
      <c r="W108" s="3">
        <f t="shared" si="17"/>
        <v>2700</v>
      </c>
    </row>
    <row r="109" spans="5:25" x14ac:dyDescent="0.2">
      <c r="E109" s="4">
        <v>49522</v>
      </c>
      <c r="F109" s="2">
        <f t="shared" si="21"/>
        <v>7500</v>
      </c>
      <c r="G109" s="2">
        <v>3000</v>
      </c>
      <c r="H109" s="5">
        <f t="shared" si="18"/>
        <v>400</v>
      </c>
      <c r="I109" s="5">
        <v>500</v>
      </c>
      <c r="J109" s="2">
        <v>750</v>
      </c>
      <c r="K109" s="2">
        <v>400</v>
      </c>
      <c r="L109" s="3">
        <f t="shared" si="15"/>
        <v>2450</v>
      </c>
      <c r="P109" s="4">
        <v>49522</v>
      </c>
      <c r="Q109" s="2">
        <f t="shared" si="22"/>
        <v>7500</v>
      </c>
      <c r="R109" s="2">
        <v>2750</v>
      </c>
      <c r="S109" s="5">
        <f t="shared" si="19"/>
        <v>400</v>
      </c>
      <c r="T109" s="5">
        <v>500</v>
      </c>
      <c r="U109" s="2">
        <v>750</v>
      </c>
      <c r="V109" s="2">
        <v>400</v>
      </c>
      <c r="W109" s="3">
        <f t="shared" si="17"/>
        <v>2700</v>
      </c>
    </row>
    <row r="110" spans="5:25" x14ac:dyDescent="0.2">
      <c r="E110" s="4">
        <v>49553</v>
      </c>
      <c r="F110" s="2">
        <f t="shared" si="21"/>
        <v>7500</v>
      </c>
      <c r="G110" s="2">
        <v>3000</v>
      </c>
      <c r="H110" s="5">
        <f t="shared" si="18"/>
        <v>400</v>
      </c>
      <c r="I110" s="5">
        <v>500</v>
      </c>
      <c r="J110" s="2">
        <v>750</v>
      </c>
      <c r="K110" s="2">
        <v>400</v>
      </c>
      <c r="L110" s="3">
        <f t="shared" si="15"/>
        <v>2450</v>
      </c>
      <c r="P110" s="4">
        <v>49553</v>
      </c>
      <c r="Q110" s="2">
        <f t="shared" si="22"/>
        <v>7500</v>
      </c>
      <c r="R110" s="2">
        <v>2750</v>
      </c>
      <c r="S110" s="5">
        <f t="shared" si="19"/>
        <v>400</v>
      </c>
      <c r="T110" s="5">
        <v>500</v>
      </c>
      <c r="U110" s="2">
        <v>750</v>
      </c>
      <c r="V110" s="2">
        <v>400</v>
      </c>
      <c r="W110" s="3">
        <f t="shared" si="17"/>
        <v>2700</v>
      </c>
    </row>
    <row r="111" spans="5:25" x14ac:dyDescent="0.2">
      <c r="E111" s="4">
        <v>49583</v>
      </c>
      <c r="F111" s="2">
        <f t="shared" si="21"/>
        <v>7500</v>
      </c>
      <c r="G111" s="2">
        <v>3000</v>
      </c>
      <c r="H111" s="5">
        <f t="shared" si="18"/>
        <v>400</v>
      </c>
      <c r="I111" s="5">
        <v>500</v>
      </c>
      <c r="J111" s="2">
        <v>750</v>
      </c>
      <c r="K111" s="2">
        <v>400</v>
      </c>
      <c r="L111" s="3">
        <f t="shared" si="15"/>
        <v>2450</v>
      </c>
      <c r="P111" s="4">
        <v>49583</v>
      </c>
      <c r="Q111" s="2">
        <f t="shared" si="22"/>
        <v>7500</v>
      </c>
      <c r="R111" s="2">
        <v>2750</v>
      </c>
      <c r="S111" s="5">
        <f t="shared" si="19"/>
        <v>400</v>
      </c>
      <c r="T111" s="5">
        <v>500</v>
      </c>
      <c r="U111" s="2">
        <v>750</v>
      </c>
      <c r="V111" s="2">
        <v>400</v>
      </c>
      <c r="W111" s="3">
        <f t="shared" si="17"/>
        <v>2700</v>
      </c>
    </row>
    <row r="112" spans="5:25" x14ac:dyDescent="0.2">
      <c r="E112" s="4">
        <v>49614</v>
      </c>
      <c r="F112" s="2">
        <f t="shared" si="21"/>
        <v>7500</v>
      </c>
      <c r="G112" s="2">
        <v>3000</v>
      </c>
      <c r="H112" s="5">
        <f t="shared" si="18"/>
        <v>450</v>
      </c>
      <c r="I112" s="5">
        <v>500</v>
      </c>
      <c r="J112" s="2">
        <v>750</v>
      </c>
      <c r="K112" s="2">
        <v>400</v>
      </c>
      <c r="L112" s="3">
        <f t="shared" si="15"/>
        <v>2400</v>
      </c>
      <c r="P112" s="4">
        <v>49614</v>
      </c>
      <c r="Q112" s="2">
        <f t="shared" si="22"/>
        <v>7500</v>
      </c>
      <c r="R112" s="2">
        <v>2750</v>
      </c>
      <c r="S112" s="5">
        <f t="shared" si="19"/>
        <v>450</v>
      </c>
      <c r="T112" s="5">
        <v>500</v>
      </c>
      <c r="U112" s="2">
        <v>750</v>
      </c>
      <c r="V112" s="2">
        <v>400</v>
      </c>
      <c r="W112" s="3">
        <f t="shared" si="17"/>
        <v>2650</v>
      </c>
    </row>
    <row r="113" spans="5:25" x14ac:dyDescent="0.2">
      <c r="E113" s="4">
        <v>49644</v>
      </c>
      <c r="F113" s="2">
        <f t="shared" si="21"/>
        <v>7500</v>
      </c>
      <c r="G113" s="2">
        <v>3000</v>
      </c>
      <c r="H113" s="5">
        <f t="shared" si="18"/>
        <v>450</v>
      </c>
      <c r="I113" s="5">
        <v>500</v>
      </c>
      <c r="J113" s="2">
        <v>750</v>
      </c>
      <c r="K113" s="2">
        <v>400</v>
      </c>
      <c r="L113" s="3">
        <f t="shared" si="15"/>
        <v>2400</v>
      </c>
      <c r="M113" t="str">
        <f t="shared" si="20"/>
        <v>2035 total</v>
      </c>
      <c r="N113" s="3">
        <f>SUM(L102:L113)</f>
        <v>29200</v>
      </c>
      <c r="P113" s="4">
        <v>49644</v>
      </c>
      <c r="Q113" s="2">
        <f t="shared" si="22"/>
        <v>7500</v>
      </c>
      <c r="R113" s="2">
        <v>2750</v>
      </c>
      <c r="S113" s="5">
        <f t="shared" si="19"/>
        <v>450</v>
      </c>
      <c r="T113" s="5">
        <v>500</v>
      </c>
      <c r="U113" s="2">
        <v>750</v>
      </c>
      <c r="V113" s="2">
        <v>400</v>
      </c>
      <c r="W113" s="3">
        <f t="shared" si="17"/>
        <v>2650</v>
      </c>
      <c r="X113" t="s">
        <v>31</v>
      </c>
      <c r="Y113" s="3">
        <f>SUM(W102:W113)</f>
        <v>32200</v>
      </c>
    </row>
    <row r="114" spans="5:25" x14ac:dyDescent="0.2">
      <c r="E114" s="4">
        <v>49675</v>
      </c>
      <c r="F114" s="2">
        <f t="shared" si="21"/>
        <v>7500</v>
      </c>
      <c r="G114" s="2">
        <v>3000</v>
      </c>
      <c r="H114" s="5">
        <f t="shared" si="18"/>
        <v>450</v>
      </c>
      <c r="I114" s="5">
        <v>500</v>
      </c>
      <c r="J114" s="2">
        <v>750</v>
      </c>
      <c r="K114" s="2">
        <v>400</v>
      </c>
      <c r="L114" s="3">
        <f t="shared" si="15"/>
        <v>2400</v>
      </c>
      <c r="P114" s="4">
        <v>49675</v>
      </c>
      <c r="Q114" s="2">
        <f t="shared" si="22"/>
        <v>7500</v>
      </c>
      <c r="R114" s="2">
        <v>2750</v>
      </c>
      <c r="S114" s="5">
        <f t="shared" si="19"/>
        <v>450</v>
      </c>
      <c r="T114" s="5">
        <v>500</v>
      </c>
      <c r="U114" s="2">
        <v>750</v>
      </c>
      <c r="V114" s="2">
        <v>400</v>
      </c>
      <c r="W114" s="3">
        <f t="shared" si="17"/>
        <v>2650</v>
      </c>
    </row>
    <row r="115" spans="5:25" x14ac:dyDescent="0.2">
      <c r="E115" s="4">
        <v>49706</v>
      </c>
      <c r="F115" s="2">
        <f t="shared" si="21"/>
        <v>7500</v>
      </c>
      <c r="G115" s="2">
        <v>3000</v>
      </c>
      <c r="H115" s="5">
        <f t="shared" si="18"/>
        <v>450</v>
      </c>
      <c r="I115" s="5">
        <v>500</v>
      </c>
      <c r="J115" s="2">
        <v>750</v>
      </c>
      <c r="K115" s="2">
        <v>400</v>
      </c>
      <c r="L115" s="3">
        <f t="shared" si="15"/>
        <v>2400</v>
      </c>
      <c r="P115" s="4">
        <v>49706</v>
      </c>
      <c r="Q115" s="2">
        <f t="shared" si="22"/>
        <v>7500</v>
      </c>
      <c r="R115" s="2">
        <v>2750</v>
      </c>
      <c r="S115" s="5">
        <f t="shared" si="19"/>
        <v>450</v>
      </c>
      <c r="T115" s="5">
        <v>500</v>
      </c>
      <c r="U115" s="2">
        <v>750</v>
      </c>
      <c r="V115" s="2">
        <v>400</v>
      </c>
      <c r="W115" s="3">
        <f t="shared" si="17"/>
        <v>2650</v>
      </c>
    </row>
    <row r="116" spans="5:25" x14ac:dyDescent="0.2">
      <c r="E116" s="4">
        <v>49735</v>
      </c>
      <c r="F116" s="2">
        <f t="shared" si="21"/>
        <v>7500</v>
      </c>
      <c r="G116" s="2">
        <v>3000</v>
      </c>
      <c r="H116" s="5">
        <f t="shared" si="18"/>
        <v>400</v>
      </c>
      <c r="I116" s="5">
        <v>500</v>
      </c>
      <c r="J116" s="2">
        <v>750</v>
      </c>
      <c r="K116" s="2">
        <v>400</v>
      </c>
      <c r="L116" s="3">
        <f t="shared" si="15"/>
        <v>2450</v>
      </c>
      <c r="P116" s="4">
        <v>49735</v>
      </c>
      <c r="Q116" s="2">
        <f t="shared" si="22"/>
        <v>7500</v>
      </c>
      <c r="R116" s="2">
        <v>2750</v>
      </c>
      <c r="S116" s="5">
        <f t="shared" si="19"/>
        <v>400</v>
      </c>
      <c r="T116" s="5">
        <v>500</v>
      </c>
      <c r="U116" s="2">
        <v>750</v>
      </c>
      <c r="V116" s="2">
        <v>400</v>
      </c>
      <c r="W116" s="3">
        <f t="shared" si="17"/>
        <v>2700</v>
      </c>
    </row>
    <row r="117" spans="5:25" x14ac:dyDescent="0.2">
      <c r="E117" s="4">
        <v>49766</v>
      </c>
      <c r="F117" s="2">
        <f t="shared" si="21"/>
        <v>7500</v>
      </c>
      <c r="G117" s="2">
        <v>3000</v>
      </c>
      <c r="H117" s="5">
        <f t="shared" si="18"/>
        <v>400</v>
      </c>
      <c r="I117" s="5">
        <v>500</v>
      </c>
      <c r="J117" s="2">
        <v>750</v>
      </c>
      <c r="K117" s="2">
        <v>400</v>
      </c>
      <c r="L117" s="3">
        <f t="shared" si="15"/>
        <v>2450</v>
      </c>
      <c r="P117" s="4">
        <v>49766</v>
      </c>
      <c r="Q117" s="2">
        <f t="shared" si="22"/>
        <v>7500</v>
      </c>
      <c r="R117" s="2">
        <v>2750</v>
      </c>
      <c r="S117" s="5">
        <f t="shared" si="19"/>
        <v>400</v>
      </c>
      <c r="T117" s="5">
        <v>500</v>
      </c>
      <c r="U117" s="2">
        <v>750</v>
      </c>
      <c r="V117" s="2">
        <v>400</v>
      </c>
      <c r="W117" s="3">
        <f t="shared" si="17"/>
        <v>2700</v>
      </c>
    </row>
    <row r="118" spans="5:25" x14ac:dyDescent="0.2">
      <c r="E118" s="4">
        <v>49796</v>
      </c>
      <c r="F118" s="2">
        <f t="shared" si="21"/>
        <v>7500</v>
      </c>
      <c r="G118" s="2">
        <v>3000</v>
      </c>
      <c r="H118" s="5">
        <f t="shared" si="18"/>
        <v>400</v>
      </c>
      <c r="I118" s="5">
        <v>500</v>
      </c>
      <c r="J118" s="2">
        <v>750</v>
      </c>
      <c r="K118" s="2">
        <v>400</v>
      </c>
      <c r="L118" s="3">
        <f t="shared" si="15"/>
        <v>2450</v>
      </c>
      <c r="P118" s="4">
        <v>49796</v>
      </c>
      <c r="Q118" s="2">
        <f t="shared" si="22"/>
        <v>7500</v>
      </c>
      <c r="R118" s="2">
        <v>2750</v>
      </c>
      <c r="S118" s="5">
        <f t="shared" si="19"/>
        <v>400</v>
      </c>
      <c r="T118" s="5">
        <v>500</v>
      </c>
      <c r="U118" s="2">
        <v>750</v>
      </c>
      <c r="V118" s="2">
        <v>400</v>
      </c>
      <c r="W118" s="3">
        <f t="shared" si="17"/>
        <v>2700</v>
      </c>
    </row>
    <row r="119" spans="5:25" x14ac:dyDescent="0.2">
      <c r="E119" s="4">
        <v>49827</v>
      </c>
      <c r="F119" s="2">
        <f t="shared" si="21"/>
        <v>7500</v>
      </c>
      <c r="G119" s="2">
        <v>3000</v>
      </c>
      <c r="H119" s="5">
        <f t="shared" si="18"/>
        <v>400</v>
      </c>
      <c r="I119" s="5">
        <v>500</v>
      </c>
      <c r="J119" s="2">
        <v>750</v>
      </c>
      <c r="K119" s="2">
        <v>400</v>
      </c>
      <c r="L119" s="3">
        <f t="shared" si="15"/>
        <v>2450</v>
      </c>
      <c r="P119" s="4">
        <v>49827</v>
      </c>
      <c r="Q119" s="2">
        <f t="shared" si="22"/>
        <v>7500</v>
      </c>
      <c r="R119" s="2">
        <v>2750</v>
      </c>
      <c r="S119" s="5">
        <f t="shared" si="19"/>
        <v>400</v>
      </c>
      <c r="T119" s="5">
        <v>500</v>
      </c>
      <c r="U119" s="2">
        <v>750</v>
      </c>
      <c r="V119" s="2">
        <v>400</v>
      </c>
      <c r="W119" s="3">
        <f t="shared" si="17"/>
        <v>2700</v>
      </c>
    </row>
    <row r="120" spans="5:25" x14ac:dyDescent="0.2">
      <c r="E120" s="4">
        <v>49857</v>
      </c>
      <c r="F120" s="2">
        <f t="shared" si="21"/>
        <v>7500</v>
      </c>
      <c r="G120" s="2">
        <v>3000</v>
      </c>
      <c r="H120" s="5">
        <f t="shared" si="18"/>
        <v>400</v>
      </c>
      <c r="I120" s="5">
        <v>500</v>
      </c>
      <c r="J120" s="2">
        <v>750</v>
      </c>
      <c r="K120" s="2">
        <v>400</v>
      </c>
      <c r="L120" s="3">
        <f t="shared" si="15"/>
        <v>2450</v>
      </c>
      <c r="P120" s="4">
        <v>49857</v>
      </c>
      <c r="Q120" s="2">
        <f t="shared" si="22"/>
        <v>7500</v>
      </c>
      <c r="R120" s="2">
        <v>2750</v>
      </c>
      <c r="S120" s="5">
        <f t="shared" si="19"/>
        <v>400</v>
      </c>
      <c r="T120" s="5">
        <v>500</v>
      </c>
      <c r="U120" s="2">
        <v>750</v>
      </c>
      <c r="V120" s="2">
        <v>400</v>
      </c>
      <c r="W120" s="3">
        <f t="shared" si="17"/>
        <v>2700</v>
      </c>
    </row>
    <row r="121" spans="5:25" x14ac:dyDescent="0.2">
      <c r="E121" s="4">
        <v>49888</v>
      </c>
      <c r="F121" s="2">
        <f t="shared" si="21"/>
        <v>7500</v>
      </c>
      <c r="G121" s="2">
        <v>3000</v>
      </c>
      <c r="H121" s="5">
        <f t="shared" si="18"/>
        <v>400</v>
      </c>
      <c r="I121" s="5">
        <v>500</v>
      </c>
      <c r="J121" s="2">
        <v>750</v>
      </c>
      <c r="K121" s="2">
        <v>400</v>
      </c>
      <c r="L121" s="3">
        <f t="shared" si="15"/>
        <v>2450</v>
      </c>
      <c r="P121" s="4">
        <v>49888</v>
      </c>
      <c r="Q121" s="2">
        <f t="shared" si="22"/>
        <v>7500</v>
      </c>
      <c r="R121" s="2">
        <v>2750</v>
      </c>
      <c r="S121" s="5">
        <f t="shared" si="19"/>
        <v>400</v>
      </c>
      <c r="T121" s="5">
        <v>500</v>
      </c>
      <c r="U121" s="2">
        <v>750</v>
      </c>
      <c r="V121" s="2">
        <v>400</v>
      </c>
      <c r="W121" s="3">
        <f t="shared" si="17"/>
        <v>2700</v>
      </c>
    </row>
    <row r="122" spans="5:25" x14ac:dyDescent="0.2">
      <c r="E122" s="4">
        <v>49919</v>
      </c>
      <c r="F122" s="2">
        <f t="shared" si="21"/>
        <v>7500</v>
      </c>
      <c r="G122" s="2">
        <v>3000</v>
      </c>
      <c r="H122" s="5">
        <f t="shared" si="18"/>
        <v>400</v>
      </c>
      <c r="I122" s="5">
        <v>500</v>
      </c>
      <c r="J122" s="2">
        <v>750</v>
      </c>
      <c r="K122" s="2">
        <v>400</v>
      </c>
      <c r="L122" s="3">
        <f t="shared" si="15"/>
        <v>2450</v>
      </c>
      <c r="P122" s="4">
        <v>49919</v>
      </c>
      <c r="Q122" s="2">
        <f t="shared" si="22"/>
        <v>7500</v>
      </c>
      <c r="R122" s="2">
        <v>2750</v>
      </c>
      <c r="S122" s="5">
        <f t="shared" si="19"/>
        <v>400</v>
      </c>
      <c r="T122" s="5">
        <v>500</v>
      </c>
      <c r="U122" s="2">
        <v>750</v>
      </c>
      <c r="V122" s="2">
        <v>400</v>
      </c>
      <c r="W122" s="3">
        <f t="shared" si="17"/>
        <v>2700</v>
      </c>
    </row>
    <row r="123" spans="5:25" x14ac:dyDescent="0.2">
      <c r="E123" s="4">
        <v>49949</v>
      </c>
      <c r="F123" s="2">
        <f t="shared" si="21"/>
        <v>7500</v>
      </c>
      <c r="G123" s="2">
        <v>3000</v>
      </c>
      <c r="H123" s="5">
        <f t="shared" si="18"/>
        <v>400</v>
      </c>
      <c r="I123" s="5">
        <v>500</v>
      </c>
      <c r="J123" s="2">
        <v>750</v>
      </c>
      <c r="K123" s="2">
        <v>400</v>
      </c>
      <c r="L123" s="3">
        <f t="shared" si="15"/>
        <v>2450</v>
      </c>
      <c r="P123" s="4">
        <v>49949</v>
      </c>
      <c r="Q123" s="2">
        <f t="shared" si="22"/>
        <v>7500</v>
      </c>
      <c r="R123" s="2">
        <v>2750</v>
      </c>
      <c r="S123" s="5">
        <f t="shared" si="19"/>
        <v>400</v>
      </c>
      <c r="T123" s="5">
        <v>500</v>
      </c>
      <c r="U123" s="2">
        <v>750</v>
      </c>
      <c r="V123" s="2">
        <v>400</v>
      </c>
      <c r="W123" s="3">
        <f t="shared" si="17"/>
        <v>2700</v>
      </c>
    </row>
    <row r="124" spans="5:25" x14ac:dyDescent="0.2">
      <c r="E124" s="4">
        <v>49980</v>
      </c>
      <c r="F124" s="2">
        <f t="shared" si="21"/>
        <v>7500</v>
      </c>
      <c r="G124" s="2">
        <v>3000</v>
      </c>
      <c r="H124" s="5">
        <f t="shared" si="18"/>
        <v>450</v>
      </c>
      <c r="I124" s="5">
        <v>500</v>
      </c>
      <c r="J124" s="2">
        <v>750</v>
      </c>
      <c r="K124" s="2">
        <v>400</v>
      </c>
      <c r="L124" s="3">
        <f t="shared" si="15"/>
        <v>2400</v>
      </c>
      <c r="P124" s="4">
        <v>49980</v>
      </c>
      <c r="Q124" s="2">
        <f t="shared" si="22"/>
        <v>7500</v>
      </c>
      <c r="R124" s="2">
        <v>2750</v>
      </c>
      <c r="S124" s="5">
        <f t="shared" si="19"/>
        <v>450</v>
      </c>
      <c r="T124" s="5">
        <v>500</v>
      </c>
      <c r="U124" s="2">
        <v>750</v>
      </c>
      <c r="V124" s="2">
        <v>400</v>
      </c>
      <c r="W124" s="3">
        <f t="shared" si="17"/>
        <v>2650</v>
      </c>
    </row>
    <row r="125" spans="5:25" x14ac:dyDescent="0.2">
      <c r="E125" s="4">
        <v>50010</v>
      </c>
      <c r="F125" s="2">
        <f t="shared" si="21"/>
        <v>7500</v>
      </c>
      <c r="G125" s="2">
        <v>3000</v>
      </c>
      <c r="H125" s="5">
        <f t="shared" si="18"/>
        <v>450</v>
      </c>
      <c r="I125" s="5">
        <v>500</v>
      </c>
      <c r="J125" s="2">
        <v>750</v>
      </c>
      <c r="K125" s="2">
        <v>400</v>
      </c>
      <c r="L125" s="3">
        <f t="shared" si="15"/>
        <v>2400</v>
      </c>
      <c r="M125" t="str">
        <f t="shared" si="20"/>
        <v>2036 total</v>
      </c>
      <c r="N125" s="3">
        <f>SUM(L114:L125)</f>
        <v>29200</v>
      </c>
      <c r="P125" s="4">
        <v>50010</v>
      </c>
      <c r="Q125" s="2">
        <f t="shared" si="22"/>
        <v>7500</v>
      </c>
      <c r="R125" s="2">
        <v>2750</v>
      </c>
      <c r="S125" s="5">
        <f t="shared" si="19"/>
        <v>450</v>
      </c>
      <c r="T125" s="5">
        <v>500</v>
      </c>
      <c r="U125" s="2">
        <v>750</v>
      </c>
      <c r="V125" s="2">
        <v>400</v>
      </c>
      <c r="W125" s="3">
        <f t="shared" si="17"/>
        <v>2650</v>
      </c>
      <c r="X125" t="s">
        <v>32</v>
      </c>
      <c r="Y125" s="3">
        <f>SUM(W114:W125)</f>
        <v>32200</v>
      </c>
    </row>
    <row r="126" spans="5:25" x14ac:dyDescent="0.2">
      <c r="E126" s="4">
        <v>50041</v>
      </c>
      <c r="F126" s="2">
        <f t="shared" si="21"/>
        <v>7500</v>
      </c>
      <c r="G126" s="2">
        <v>3250</v>
      </c>
      <c r="H126" s="5">
        <f t="shared" si="18"/>
        <v>450</v>
      </c>
      <c r="I126" s="5">
        <v>500</v>
      </c>
      <c r="J126" s="2">
        <v>750</v>
      </c>
      <c r="K126" s="2">
        <v>400</v>
      </c>
      <c r="L126" s="3">
        <f t="shared" si="15"/>
        <v>2150</v>
      </c>
      <c r="P126" s="4">
        <v>50041</v>
      </c>
      <c r="Q126" s="2">
        <f t="shared" si="22"/>
        <v>7500</v>
      </c>
      <c r="R126" s="2">
        <v>2750</v>
      </c>
      <c r="S126" s="5">
        <f t="shared" si="19"/>
        <v>450</v>
      </c>
      <c r="T126" s="5">
        <v>500</v>
      </c>
      <c r="U126" s="2">
        <v>750</v>
      </c>
      <c r="V126" s="2">
        <v>400</v>
      </c>
      <c r="W126" s="3">
        <f t="shared" si="17"/>
        <v>2650</v>
      </c>
    </row>
    <row r="127" spans="5:25" x14ac:dyDescent="0.2">
      <c r="E127" s="4">
        <v>50072</v>
      </c>
      <c r="F127" s="2">
        <f t="shared" si="21"/>
        <v>7500</v>
      </c>
      <c r="G127" s="2">
        <v>3250</v>
      </c>
      <c r="H127" s="5">
        <f t="shared" si="18"/>
        <v>450</v>
      </c>
      <c r="I127" s="5">
        <v>500</v>
      </c>
      <c r="J127" s="2">
        <v>750</v>
      </c>
      <c r="K127" s="2">
        <v>400</v>
      </c>
      <c r="L127" s="3">
        <f t="shared" si="15"/>
        <v>2150</v>
      </c>
      <c r="P127" s="4">
        <v>50072</v>
      </c>
      <c r="Q127" s="2">
        <f t="shared" si="22"/>
        <v>7500</v>
      </c>
      <c r="R127" s="2">
        <v>3000</v>
      </c>
      <c r="S127" s="5">
        <f t="shared" si="19"/>
        <v>450</v>
      </c>
      <c r="T127" s="5">
        <v>500</v>
      </c>
      <c r="U127" s="2">
        <v>750</v>
      </c>
      <c r="V127" s="2">
        <v>400</v>
      </c>
      <c r="W127" s="3">
        <f t="shared" si="17"/>
        <v>2400</v>
      </c>
    </row>
    <row r="128" spans="5:25" x14ac:dyDescent="0.2">
      <c r="E128" s="4">
        <v>50100</v>
      </c>
      <c r="F128" s="2">
        <f t="shared" si="21"/>
        <v>7500</v>
      </c>
      <c r="G128" s="2">
        <v>3250</v>
      </c>
      <c r="H128" s="5">
        <f t="shared" si="18"/>
        <v>400</v>
      </c>
      <c r="I128" s="5">
        <v>500</v>
      </c>
      <c r="J128" s="2">
        <v>750</v>
      </c>
      <c r="K128" s="2">
        <v>400</v>
      </c>
      <c r="L128" s="3">
        <f t="shared" si="15"/>
        <v>2200</v>
      </c>
      <c r="P128" s="4">
        <v>50100</v>
      </c>
      <c r="Q128" s="2">
        <f t="shared" si="22"/>
        <v>7500</v>
      </c>
      <c r="R128" s="2">
        <v>3000</v>
      </c>
      <c r="S128" s="5">
        <f t="shared" si="19"/>
        <v>400</v>
      </c>
      <c r="T128" s="5">
        <v>500</v>
      </c>
      <c r="U128" s="2">
        <v>750</v>
      </c>
      <c r="V128" s="2">
        <v>400</v>
      </c>
      <c r="W128" s="3">
        <f t="shared" si="17"/>
        <v>2450</v>
      </c>
    </row>
    <row r="129" spans="5:25" x14ac:dyDescent="0.2">
      <c r="E129" s="4">
        <v>50131</v>
      </c>
      <c r="F129" s="2">
        <f t="shared" si="21"/>
        <v>7500</v>
      </c>
      <c r="G129" s="2">
        <v>3250</v>
      </c>
      <c r="H129" s="5">
        <f t="shared" si="18"/>
        <v>400</v>
      </c>
      <c r="I129" s="5">
        <v>500</v>
      </c>
      <c r="J129" s="2">
        <v>750</v>
      </c>
      <c r="K129" s="2">
        <v>400</v>
      </c>
      <c r="L129" s="3">
        <f t="shared" si="15"/>
        <v>2200</v>
      </c>
      <c r="P129" s="4">
        <v>50131</v>
      </c>
      <c r="Q129" s="2">
        <f t="shared" si="22"/>
        <v>7500</v>
      </c>
      <c r="R129" s="2">
        <v>3000</v>
      </c>
      <c r="S129" s="5">
        <f t="shared" si="19"/>
        <v>400</v>
      </c>
      <c r="T129" s="5">
        <v>500</v>
      </c>
      <c r="U129" s="2">
        <v>750</v>
      </c>
      <c r="V129" s="2">
        <v>400</v>
      </c>
      <c r="W129" s="3">
        <f t="shared" si="17"/>
        <v>2450</v>
      </c>
    </row>
    <row r="130" spans="5:25" x14ac:dyDescent="0.2">
      <c r="E130" s="4">
        <v>50161</v>
      </c>
      <c r="F130" s="2">
        <f t="shared" si="21"/>
        <v>7500</v>
      </c>
      <c r="G130" s="2">
        <v>3250</v>
      </c>
      <c r="H130" s="5">
        <f t="shared" si="18"/>
        <v>400</v>
      </c>
      <c r="I130" s="5">
        <v>500</v>
      </c>
      <c r="J130" s="2">
        <v>750</v>
      </c>
      <c r="K130" s="2">
        <v>400</v>
      </c>
      <c r="L130" s="3">
        <f t="shared" si="15"/>
        <v>2200</v>
      </c>
      <c r="P130" s="4">
        <v>50161</v>
      </c>
      <c r="Q130" s="2">
        <f t="shared" si="22"/>
        <v>7500</v>
      </c>
      <c r="R130" s="2">
        <v>3000</v>
      </c>
      <c r="S130" s="5">
        <f t="shared" si="19"/>
        <v>400</v>
      </c>
      <c r="T130" s="5">
        <v>500</v>
      </c>
      <c r="U130" s="2">
        <v>750</v>
      </c>
      <c r="V130" s="2">
        <v>400</v>
      </c>
      <c r="W130" s="3">
        <f t="shared" si="17"/>
        <v>2450</v>
      </c>
    </row>
    <row r="131" spans="5:25" x14ac:dyDescent="0.2">
      <c r="E131" s="4">
        <v>50192</v>
      </c>
      <c r="F131" s="2">
        <f t="shared" si="21"/>
        <v>7500</v>
      </c>
      <c r="G131" s="2">
        <v>3250</v>
      </c>
      <c r="H131" s="5">
        <f t="shared" si="18"/>
        <v>400</v>
      </c>
      <c r="I131" s="5">
        <v>500</v>
      </c>
      <c r="J131" s="2">
        <v>750</v>
      </c>
      <c r="K131" s="2">
        <v>400</v>
      </c>
      <c r="L131" s="3">
        <f t="shared" si="15"/>
        <v>2200</v>
      </c>
      <c r="P131" s="4">
        <v>50192</v>
      </c>
      <c r="Q131" s="2">
        <f t="shared" si="22"/>
        <v>7500</v>
      </c>
      <c r="R131" s="2">
        <v>3000</v>
      </c>
      <c r="S131" s="5">
        <f t="shared" si="19"/>
        <v>400</v>
      </c>
      <c r="T131" s="5">
        <v>500</v>
      </c>
      <c r="U131" s="2">
        <v>750</v>
      </c>
      <c r="V131" s="2">
        <v>400</v>
      </c>
      <c r="W131" s="3">
        <f t="shared" si="17"/>
        <v>2450</v>
      </c>
    </row>
    <row r="132" spans="5:25" x14ac:dyDescent="0.2">
      <c r="E132" s="4">
        <v>50222</v>
      </c>
      <c r="F132" s="2">
        <f t="shared" si="21"/>
        <v>7500</v>
      </c>
      <c r="G132" s="2">
        <v>3250</v>
      </c>
      <c r="H132" s="5">
        <f t="shared" si="18"/>
        <v>400</v>
      </c>
      <c r="I132" s="5">
        <v>500</v>
      </c>
      <c r="J132" s="2">
        <v>750</v>
      </c>
      <c r="K132" s="2">
        <v>400</v>
      </c>
      <c r="L132" s="3">
        <f t="shared" si="15"/>
        <v>2200</v>
      </c>
      <c r="P132" s="4">
        <v>50222</v>
      </c>
      <c r="Q132" s="2">
        <f t="shared" si="22"/>
        <v>7500</v>
      </c>
      <c r="R132" s="2">
        <v>3000</v>
      </c>
      <c r="S132" s="5">
        <f t="shared" si="19"/>
        <v>400</v>
      </c>
      <c r="T132" s="5">
        <v>500</v>
      </c>
      <c r="U132" s="2">
        <v>750</v>
      </c>
      <c r="V132" s="2">
        <v>400</v>
      </c>
      <c r="W132" s="3">
        <f t="shared" si="17"/>
        <v>2450</v>
      </c>
    </row>
    <row r="133" spans="5:25" x14ac:dyDescent="0.2">
      <c r="E133" s="4">
        <v>50253</v>
      </c>
      <c r="F133" s="2">
        <f t="shared" si="21"/>
        <v>7500</v>
      </c>
      <c r="G133" s="2">
        <v>3250</v>
      </c>
      <c r="H133" s="5">
        <f t="shared" si="18"/>
        <v>400</v>
      </c>
      <c r="I133" s="5">
        <v>500</v>
      </c>
      <c r="J133" s="2">
        <v>750</v>
      </c>
      <c r="K133" s="2">
        <v>400</v>
      </c>
      <c r="L133" s="3">
        <f t="shared" si="15"/>
        <v>2200</v>
      </c>
      <c r="P133" s="4">
        <v>50253</v>
      </c>
      <c r="Q133" s="2">
        <f t="shared" si="22"/>
        <v>7500</v>
      </c>
      <c r="R133" s="2">
        <v>3000</v>
      </c>
      <c r="S133" s="5">
        <f t="shared" si="19"/>
        <v>400</v>
      </c>
      <c r="T133" s="5">
        <v>500</v>
      </c>
      <c r="U133" s="2">
        <v>750</v>
      </c>
      <c r="V133" s="2">
        <v>400</v>
      </c>
      <c r="W133" s="3">
        <f t="shared" si="17"/>
        <v>2450</v>
      </c>
    </row>
    <row r="134" spans="5:25" x14ac:dyDescent="0.2">
      <c r="E134" s="4">
        <v>50284</v>
      </c>
      <c r="F134" s="2">
        <f t="shared" si="21"/>
        <v>7500</v>
      </c>
      <c r="G134" s="2">
        <v>3250</v>
      </c>
      <c r="H134" s="5">
        <f t="shared" si="18"/>
        <v>400</v>
      </c>
      <c r="I134" s="5">
        <v>500</v>
      </c>
      <c r="J134" s="2">
        <v>750</v>
      </c>
      <c r="K134" s="2">
        <v>400</v>
      </c>
      <c r="L134" s="3">
        <f t="shared" si="15"/>
        <v>2200</v>
      </c>
      <c r="P134" s="4">
        <v>50284</v>
      </c>
      <c r="Q134" s="2">
        <f t="shared" si="22"/>
        <v>7500</v>
      </c>
      <c r="R134" s="2">
        <v>3000</v>
      </c>
      <c r="S134" s="5">
        <f t="shared" si="19"/>
        <v>400</v>
      </c>
      <c r="T134" s="5">
        <v>500</v>
      </c>
      <c r="U134" s="2">
        <v>750</v>
      </c>
      <c r="V134" s="2">
        <v>400</v>
      </c>
      <c r="W134" s="3">
        <f t="shared" si="17"/>
        <v>2450</v>
      </c>
    </row>
    <row r="135" spans="5:25" x14ac:dyDescent="0.2">
      <c r="E135" s="4">
        <v>50314</v>
      </c>
      <c r="F135" s="2">
        <f t="shared" si="21"/>
        <v>7500</v>
      </c>
      <c r="G135" s="2">
        <v>3250</v>
      </c>
      <c r="H135" s="5">
        <f t="shared" si="18"/>
        <v>400</v>
      </c>
      <c r="I135" s="5">
        <v>500</v>
      </c>
      <c r="J135" s="2">
        <v>750</v>
      </c>
      <c r="K135" s="2">
        <v>400</v>
      </c>
      <c r="L135" s="3">
        <f t="shared" ref="L135:L137" si="23">F135-G135-H135-I135-J135-K135</f>
        <v>2200</v>
      </c>
      <c r="P135" s="4">
        <v>50314</v>
      </c>
      <c r="Q135" s="2">
        <f t="shared" si="22"/>
        <v>7500</v>
      </c>
      <c r="R135" s="2">
        <v>3000</v>
      </c>
      <c r="S135" s="5">
        <f t="shared" si="19"/>
        <v>400</v>
      </c>
      <c r="T135" s="5">
        <v>500</v>
      </c>
      <c r="U135" s="2">
        <v>750</v>
      </c>
      <c r="V135" s="2">
        <v>400</v>
      </c>
      <c r="W135" s="3">
        <f t="shared" ref="W135:W137" si="24">Q135-R135-S135-T135-U135-V135</f>
        <v>2450</v>
      </c>
    </row>
    <row r="136" spans="5:25" x14ac:dyDescent="0.2">
      <c r="E136" s="4">
        <v>50345</v>
      </c>
      <c r="F136" s="2">
        <f t="shared" si="21"/>
        <v>7500</v>
      </c>
      <c r="G136" s="2">
        <v>3250</v>
      </c>
      <c r="H136" s="5">
        <f t="shared" si="18"/>
        <v>450</v>
      </c>
      <c r="I136" s="5">
        <v>500</v>
      </c>
      <c r="J136" s="2">
        <v>750</v>
      </c>
      <c r="K136" s="2">
        <v>400</v>
      </c>
      <c r="L136" s="3">
        <f t="shared" si="23"/>
        <v>2150</v>
      </c>
      <c r="P136" s="4">
        <v>50345</v>
      </c>
      <c r="Q136" s="2">
        <f t="shared" si="22"/>
        <v>7500</v>
      </c>
      <c r="R136" s="2">
        <v>3000</v>
      </c>
      <c r="S136" s="5">
        <f t="shared" si="19"/>
        <v>450</v>
      </c>
      <c r="T136" s="5">
        <v>500</v>
      </c>
      <c r="U136" s="2">
        <v>750</v>
      </c>
      <c r="V136" s="2">
        <v>400</v>
      </c>
      <c r="W136" s="3">
        <f t="shared" si="24"/>
        <v>2400</v>
      </c>
    </row>
    <row r="137" spans="5:25" x14ac:dyDescent="0.2">
      <c r="E137" s="4">
        <v>50375</v>
      </c>
      <c r="F137" s="2">
        <f t="shared" si="21"/>
        <v>7500</v>
      </c>
      <c r="G137" s="2">
        <v>3250</v>
      </c>
      <c r="H137" s="5">
        <f t="shared" si="18"/>
        <v>450</v>
      </c>
      <c r="I137" s="5">
        <v>500</v>
      </c>
      <c r="J137" s="2">
        <v>750</v>
      </c>
      <c r="K137" s="2">
        <v>400</v>
      </c>
      <c r="L137" s="3">
        <f t="shared" si="23"/>
        <v>2150</v>
      </c>
      <c r="M137" t="str">
        <f t="shared" si="20"/>
        <v>2037 total</v>
      </c>
      <c r="N137" s="3">
        <f>SUM(L126:L137)</f>
        <v>26200</v>
      </c>
      <c r="P137" s="4">
        <v>50375</v>
      </c>
      <c r="Q137" s="2">
        <f t="shared" si="22"/>
        <v>7500</v>
      </c>
      <c r="R137" s="2">
        <v>3000</v>
      </c>
      <c r="S137" s="5">
        <f t="shared" si="19"/>
        <v>450</v>
      </c>
      <c r="T137" s="5">
        <v>500</v>
      </c>
      <c r="U137" s="2">
        <v>750</v>
      </c>
      <c r="V137" s="2">
        <v>400</v>
      </c>
      <c r="W137" s="3">
        <f t="shared" si="24"/>
        <v>2400</v>
      </c>
      <c r="X137" t="s">
        <v>33</v>
      </c>
      <c r="Y137" s="3">
        <f>SUM(W126:W137)</f>
        <v>29450</v>
      </c>
    </row>
    <row r="139" spans="5:25" x14ac:dyDescent="0.2">
      <c r="V139" t="s">
        <v>21</v>
      </c>
      <c r="W139" s="3">
        <f>SUM(W6:W137)+7000</f>
        <v>296200</v>
      </c>
    </row>
    <row r="140" spans="5:25" x14ac:dyDescent="0.2">
      <c r="K140" t="s">
        <v>21</v>
      </c>
      <c r="L140" s="3">
        <f>(SUM(L6:L138)+7000)</f>
        <v>260449.99999999985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A484-D074-874A-AB84-49B942174C27}">
  <dimension ref="A1:Y41"/>
  <sheetViews>
    <sheetView tabSelected="1" zoomScale="88" workbookViewId="0">
      <selection activeCell="T27" sqref="T27"/>
    </sheetView>
  </sheetViews>
  <sheetFormatPr baseColWidth="10" defaultRowHeight="16" x14ac:dyDescent="0.2"/>
  <cols>
    <col min="1" max="1" width="55.1640625" customWidth="1"/>
    <col min="2" max="2" width="16" customWidth="1"/>
    <col min="5" max="5" width="52.5" customWidth="1"/>
    <col min="6" max="6" width="18.1640625" customWidth="1"/>
    <col min="8" max="8" width="23.6640625" customWidth="1"/>
    <col min="9" max="9" width="19" bestFit="1" customWidth="1"/>
    <col min="11" max="11" width="22.83203125" customWidth="1"/>
    <col min="12" max="12" width="20" customWidth="1"/>
    <col min="15" max="15" width="45.33203125" customWidth="1"/>
    <col min="16" max="16" width="20.83203125" customWidth="1"/>
    <col min="17" max="17" width="21" customWidth="1"/>
    <col min="19" max="19" width="21" customWidth="1"/>
    <col min="20" max="20" width="15.83203125" bestFit="1" customWidth="1"/>
    <col min="21" max="21" width="20.1640625" customWidth="1"/>
    <col min="22" max="22" width="20.5" customWidth="1"/>
    <col min="23" max="23" width="22" customWidth="1"/>
    <col min="24" max="24" width="23.1640625" customWidth="1"/>
    <col min="25" max="25" width="22.33203125" customWidth="1"/>
    <col min="26" max="26" width="21.6640625" customWidth="1"/>
    <col min="27" max="27" width="21" customWidth="1"/>
    <col min="28" max="28" width="23" customWidth="1"/>
    <col min="29" max="29" width="21.6640625" customWidth="1"/>
  </cols>
  <sheetData>
    <row r="1" spans="1:25" x14ac:dyDescent="0.2">
      <c r="A1" s="1" t="s">
        <v>34</v>
      </c>
    </row>
    <row r="4" spans="1:25" x14ac:dyDescent="0.2">
      <c r="A4" s="6" t="s">
        <v>35</v>
      </c>
      <c r="H4" s="6" t="s">
        <v>76</v>
      </c>
    </row>
    <row r="5" spans="1:25" x14ac:dyDescent="0.2">
      <c r="A5" s="1" t="s">
        <v>36</v>
      </c>
      <c r="E5" s="1" t="s">
        <v>72</v>
      </c>
      <c r="N5" s="6" t="s">
        <v>103</v>
      </c>
      <c r="P5" t="s">
        <v>117</v>
      </c>
      <c r="Q5" t="s">
        <v>119</v>
      </c>
      <c r="R5" t="s">
        <v>120</v>
      </c>
      <c r="S5" t="s">
        <v>121</v>
      </c>
      <c r="T5" t="s">
        <v>122</v>
      </c>
      <c r="U5" t="s">
        <v>123</v>
      </c>
      <c r="V5" t="s">
        <v>124</v>
      </c>
      <c r="W5" t="s">
        <v>125</v>
      </c>
      <c r="X5" t="s">
        <v>126</v>
      </c>
      <c r="Y5" t="s">
        <v>127</v>
      </c>
    </row>
    <row r="6" spans="1:25" x14ac:dyDescent="0.2">
      <c r="A6" s="1" t="s">
        <v>37</v>
      </c>
      <c r="B6" s="2">
        <v>70000</v>
      </c>
      <c r="C6" s="2"/>
      <c r="E6" s="1" t="s">
        <v>37</v>
      </c>
      <c r="F6" s="2">
        <v>200000</v>
      </c>
      <c r="H6" t="s">
        <v>77</v>
      </c>
      <c r="I6" s="2">
        <v>20000</v>
      </c>
      <c r="K6" t="s">
        <v>88</v>
      </c>
      <c r="L6" s="2">
        <v>50000</v>
      </c>
      <c r="N6" t="s">
        <v>104</v>
      </c>
      <c r="O6" t="e" vm="1">
        <v>#VALUE!</v>
      </c>
      <c r="P6" s="9" cm="1">
        <f t="array" aca="1" ref="P6" ca="1">_FV(O6,"Price")</f>
        <v>184.97</v>
      </c>
      <c r="Q6" s="10" cm="1">
        <f t="array" aca="1" ref="Q6" ca="1">_FV(O6,"Beta")</f>
        <v>2.3130999999999999</v>
      </c>
      <c r="R6" s="13">
        <v>4.1399999999999999E-2</v>
      </c>
      <c r="S6" s="11">
        <v>0.11</v>
      </c>
      <c r="T6" s="14">
        <f ca="1">R6+Q6*(S6-R6)</f>
        <v>0.20007865999999996</v>
      </c>
      <c r="U6" s="9">
        <f ca="1">$P$6*(1+$T$6)</f>
        <v>221.97854974019998</v>
      </c>
      <c r="V6" s="9">
        <f ca="1">$P$6*(1+$T$6)^2</f>
        <v>266.39172052096256</v>
      </c>
      <c r="W6" s="9">
        <f ca="1">$P$6*(1+$T$6)^5</f>
        <v>460.41542188434863</v>
      </c>
      <c r="X6" s="9">
        <f ca="1">$P$6*(1+$T$6)^10</f>
        <v>1146.0364421740969</v>
      </c>
      <c r="Y6" s="9">
        <f ca="1">$P$6*(1+$T$6)^20</f>
        <v>7100.6083515762666</v>
      </c>
    </row>
    <row r="7" spans="1:25" x14ac:dyDescent="0.2">
      <c r="A7" s="1" t="s">
        <v>38</v>
      </c>
      <c r="B7" s="2">
        <f>Sheet2!N17+7000</f>
        <v>32399.999999999989</v>
      </c>
      <c r="C7" s="2"/>
      <c r="E7" s="1" t="s">
        <v>73</v>
      </c>
      <c r="F7" s="2">
        <f>B21</f>
        <v>83550.397394456857</v>
      </c>
      <c r="H7" t="s">
        <v>78</v>
      </c>
      <c r="I7" s="8">
        <v>4.2999999999999997E-2</v>
      </c>
      <c r="K7" t="s">
        <v>89</v>
      </c>
      <c r="L7" s="8">
        <v>4.2999999999999997E-2</v>
      </c>
      <c r="N7" t="s">
        <v>118</v>
      </c>
      <c r="O7" t="e" vm="2">
        <v>#VALUE!</v>
      </c>
      <c r="P7" s="9" cm="1">
        <f t="array" aca="1" ref="P7" ca="1">_FV(O7,"Price")</f>
        <v>181.84</v>
      </c>
      <c r="Q7" s="10" cm="1">
        <f t="array" aca="1" ref="Q7" ca="1">_FV(O7,"Beta")</f>
        <v>1.5423</v>
      </c>
      <c r="R7" s="13">
        <v>4.1399999999999999E-2</v>
      </c>
      <c r="S7" s="11">
        <v>0.11</v>
      </c>
      <c r="T7" s="14">
        <f t="shared" ref="T7:T20" ca="1" si="0">R7+Q7*(S7-R7)</f>
        <v>0.14720178</v>
      </c>
      <c r="U7" s="9">
        <f ca="1">$P$7*(1+$T$7)</f>
        <v>208.60717167520002</v>
      </c>
      <c r="V7" s="9">
        <f ca="1">$P$7*(1+$T$7)^2</f>
        <v>239.31451866655507</v>
      </c>
      <c r="W7" s="9">
        <f ca="1">$P$7*(1+$T$7)^5</f>
        <v>361.31707317252489</v>
      </c>
      <c r="X7" s="9">
        <f ca="1">$P$7*(1+$T$7)^10</f>
        <v>717.93899783303834</v>
      </c>
      <c r="Y7" s="9">
        <f ca="1">$P$7*(1+$T$7)^20</f>
        <v>2834.5600781429134</v>
      </c>
    </row>
    <row r="8" spans="1:25" x14ac:dyDescent="0.2">
      <c r="A8" s="1" t="s">
        <v>39</v>
      </c>
      <c r="B8" s="2">
        <f>B6*0.06</f>
        <v>4200</v>
      </c>
      <c r="C8" s="3"/>
      <c r="E8" s="1" t="s">
        <v>74</v>
      </c>
      <c r="F8" s="3">
        <f>F7*0.09</f>
        <v>7519.5357655011167</v>
      </c>
      <c r="H8" t="s">
        <v>79</v>
      </c>
      <c r="I8" t="s">
        <v>80</v>
      </c>
      <c r="K8" t="s">
        <v>79</v>
      </c>
      <c r="L8" t="s">
        <v>90</v>
      </c>
      <c r="N8" t="s">
        <v>105</v>
      </c>
      <c r="O8" t="e" vm="3">
        <v>#VALUE!</v>
      </c>
      <c r="P8" s="9" cm="1">
        <f t="array" aca="1" ref="P8" ca="1">_FV(O8,"Price")</f>
        <v>81.92</v>
      </c>
      <c r="Q8" s="10" cm="1">
        <f t="array" aca="1" ref="Q8" ca="1">_FV(O8,"Beta")</f>
        <v>0.94540000000000002</v>
      </c>
      <c r="R8" s="13">
        <v>4.1399999999999999E-2</v>
      </c>
      <c r="S8" s="11">
        <v>0.11</v>
      </c>
      <c r="T8" s="14">
        <f t="shared" ca="1" si="0"/>
        <v>0.10625444000000001</v>
      </c>
      <c r="U8" s="9">
        <f ca="1">$P$8*(1+$T$8)</f>
        <v>90.624363724800006</v>
      </c>
      <c r="V8" s="9">
        <f ca="1">$P$8*(1+$T$8)^2</f>
        <v>100.25360474273495</v>
      </c>
      <c r="W8" s="9">
        <f ca="1">$P$8*(1+$T$8)^5</f>
        <v>135.72663358996346</v>
      </c>
      <c r="X8" s="9">
        <f ca="1">$P$8*(1+$T$8)^10</f>
        <v>224.87450031328365</v>
      </c>
      <c r="Y8" s="9">
        <f ca="1">$P$8*(1+$T$8)^20</f>
        <v>617.29175892515877</v>
      </c>
    </row>
    <row r="9" spans="1:25" x14ac:dyDescent="0.2">
      <c r="A9" s="1" t="s">
        <v>40</v>
      </c>
      <c r="B9" s="2">
        <f>B8/2</f>
        <v>2100</v>
      </c>
      <c r="C9" s="3"/>
      <c r="E9" s="1" t="s">
        <v>40</v>
      </c>
      <c r="F9" s="3">
        <f>F8/2</f>
        <v>3759.7678827505583</v>
      </c>
      <c r="N9" t="s">
        <v>106</v>
      </c>
      <c r="O9" t="e" vm="4">
        <v>#VALUE!</v>
      </c>
      <c r="P9" s="9" cm="1">
        <f t="array" aca="1" ref="P9" ca="1">_FV(O9,"Price")</f>
        <v>387.39</v>
      </c>
      <c r="Q9" s="10" cm="1">
        <f t="array" aca="1" ref="Q9" ca="1">_FV(O9,"Beta")</f>
        <v>0.82979999999999998</v>
      </c>
      <c r="R9" s="13">
        <v>4.1399999999999999E-2</v>
      </c>
      <c r="S9" s="11">
        <v>0.11</v>
      </c>
      <c r="T9" s="14">
        <f t="shared" ca="1" si="0"/>
        <v>9.8324279999999986E-2</v>
      </c>
      <c r="U9" s="9">
        <f ca="1">$P$9*(1+$T$9)</f>
        <v>425.47984282919998</v>
      </c>
      <c r="V9" s="9">
        <f ca="1">$P$9*(1+$T$9)^2</f>
        <v>467.31484202989418</v>
      </c>
      <c r="W9" s="9">
        <f ca="1">$P$9*(1+$T$9)^5</f>
        <v>619.15777048463372</v>
      </c>
      <c r="X9" s="9">
        <f ca="1">$P$9*(1+$T$9)^10</f>
        <v>989.58761132580162</v>
      </c>
      <c r="Y9" s="9">
        <f ca="1">$P$9*(1+$T$9)^20</f>
        <v>2527.9011861160734</v>
      </c>
    </row>
    <row r="10" spans="1:25" x14ac:dyDescent="0.2">
      <c r="A10" s="1" t="s">
        <v>42</v>
      </c>
      <c r="B10" s="7">
        <v>0.08</v>
      </c>
      <c r="C10" s="3"/>
      <c r="E10" s="1" t="s">
        <v>75</v>
      </c>
      <c r="F10" s="7">
        <v>0.1</v>
      </c>
      <c r="H10" t="s">
        <v>81</v>
      </c>
      <c r="I10" s="3">
        <f>$I$6+($I$6*$I$7)</f>
        <v>20860</v>
      </c>
      <c r="K10" t="s">
        <v>81</v>
      </c>
      <c r="L10" s="3">
        <f>$L$6+($L$6*$L$7)</f>
        <v>52150</v>
      </c>
      <c r="N10" t="s">
        <v>107</v>
      </c>
      <c r="O10" t="e" vm="5">
        <v>#VALUE!</v>
      </c>
      <c r="P10" s="9" cm="1">
        <f t="array" aca="1" ref="P10" ca="1">_FV(O10,"Price")</f>
        <v>137.47</v>
      </c>
      <c r="Q10" s="10" cm="1">
        <f t="array" aca="1" ref="Q10" ca="1">_FV(O10,"Beta")</f>
        <v>0.34520000000000001</v>
      </c>
      <c r="R10" s="13">
        <v>4.1399999999999999E-2</v>
      </c>
      <c r="S10" s="11">
        <v>0.11</v>
      </c>
      <c r="T10" s="14">
        <f t="shared" ca="1" si="0"/>
        <v>6.5080719999999995E-2</v>
      </c>
      <c r="U10" s="9">
        <f ca="1">$P$10*(1+$T$10)</f>
        <v>146.41664657840002</v>
      </c>
      <c r="V10" s="9">
        <f ca="1">$P$10*(1+$T$10)^2</f>
        <v>155.94554735770782</v>
      </c>
      <c r="W10" s="9">
        <f ca="1">$P$10*(1+$T$10)^5</f>
        <v>188.41720131395527</v>
      </c>
      <c r="X10" s="9">
        <f ca="1">$P$10*(1+$T$10)^10</f>
        <v>258.24573907749721</v>
      </c>
      <c r="Y10" s="9">
        <f ca="1">$P$10*(1+$T$10)^20</f>
        <v>485.13029571312131</v>
      </c>
    </row>
    <row r="11" spans="1:25" x14ac:dyDescent="0.2">
      <c r="B11" s="2"/>
      <c r="H11" t="s">
        <v>82</v>
      </c>
      <c r="I11" s="3">
        <f>$I$6+($I$6*$I$7*5)</f>
        <v>24300</v>
      </c>
      <c r="K11" t="s">
        <v>91</v>
      </c>
      <c r="L11" s="3">
        <f>$L$6+($L$6*$L$7*5)</f>
        <v>60750</v>
      </c>
      <c r="N11" t="s">
        <v>108</v>
      </c>
      <c r="O11" t="e" vm="6">
        <v>#VALUE!</v>
      </c>
      <c r="P11" s="9" cm="1">
        <f t="array" aca="1" ref="P11" ca="1">_FV(O11,"Price")</f>
        <v>55.164999999999999</v>
      </c>
      <c r="Q11" s="10" cm="1">
        <f t="array" aca="1" ref="Q11" ca="1">_FV(O11,"Beta")</f>
        <v>1.4114</v>
      </c>
      <c r="R11" s="13">
        <v>4.1399999999999999E-2</v>
      </c>
      <c r="S11" s="11">
        <v>0.11</v>
      </c>
      <c r="T11" s="14">
        <f t="shared" ca="1" si="0"/>
        <v>0.13822203999999999</v>
      </c>
      <c r="U11" s="9">
        <f ca="1">$P$11*(1+$T$11)</f>
        <v>62.790018836599998</v>
      </c>
      <c r="V11" s="9">
        <f ca="1">$P$11*(1+$T$11)^2</f>
        <v>71.468983331833286</v>
      </c>
      <c r="W11" s="9">
        <f ca="1">$P$11*(1+$T$11)^5</f>
        <v>105.38979910609916</v>
      </c>
      <c r="X11" s="9">
        <f ca="1">$P$11*(1+$T$11)^10</f>
        <v>201.34160709913783</v>
      </c>
      <c r="Y11" s="9">
        <f ca="1">$P$11*(1+$T$11)^20</f>
        <v>734.85802137702512</v>
      </c>
    </row>
    <row r="12" spans="1:25" x14ac:dyDescent="0.2">
      <c r="A12" s="1" t="s">
        <v>41</v>
      </c>
      <c r="B12" s="2">
        <f>($B$7+$B$8+$B$9)*(1+$B$10)</f>
        <v>41795.999999999985</v>
      </c>
      <c r="E12" s="1" t="s">
        <v>41</v>
      </c>
      <c r="F12" s="3">
        <f>($F$7+$F$8+$F$9)*(1+$F$10)</f>
        <v>104312.6711469794</v>
      </c>
      <c r="H12" t="s">
        <v>83</v>
      </c>
      <c r="I12" s="3">
        <f>$I$6+($I$6*$I$7*10)</f>
        <v>28600</v>
      </c>
      <c r="K12" t="s">
        <v>92</v>
      </c>
      <c r="L12" s="3">
        <f>$L$6+($L$6*$L$7*10)</f>
        <v>71500</v>
      </c>
      <c r="N12" t="s">
        <v>109</v>
      </c>
      <c r="O12" t="e" vm="7">
        <v>#VALUE!</v>
      </c>
      <c r="P12" s="9" cm="1">
        <f t="array" aca="1" ref="P12" ca="1">_FV(O12,"Price")</f>
        <v>219.46</v>
      </c>
      <c r="Q12" s="10" cm="1">
        <f t="array" aca="1" ref="Q12" ca="1">_FV(O12,"Beta")</f>
        <v>2.544</v>
      </c>
      <c r="R12" s="13">
        <v>4.1399999999999999E-2</v>
      </c>
      <c r="S12" s="11">
        <v>0.11</v>
      </c>
      <c r="T12" s="14">
        <f t="shared" ca="1" si="0"/>
        <v>0.21591839999999998</v>
      </c>
      <c r="U12" s="9">
        <f ca="1">$P$12*(1+$T$12)</f>
        <v>266.84545206400003</v>
      </c>
      <c r="V12" s="9">
        <f ca="1">$P$12*(1+$T$12)^2</f>
        <v>324.46229512093561</v>
      </c>
      <c r="W12" s="9">
        <f ca="1">$P$12*(1+$T$12)^5</f>
        <v>583.28059390198905</v>
      </c>
      <c r="X12" s="9">
        <f ca="1">$P$12*(1+$T$12)^10</f>
        <v>1550.242646599185</v>
      </c>
      <c r="Y12" s="9">
        <f ca="1">$P$12*(1+$T$12)^20</f>
        <v>10950.753045360636</v>
      </c>
    </row>
    <row r="13" spans="1:25" x14ac:dyDescent="0.2">
      <c r="A13" s="1" t="s">
        <v>43</v>
      </c>
      <c r="B13" s="2">
        <f>($B$7+$B$8+$B$9)*(1+$B$10)^2</f>
        <v>45139.679999999986</v>
      </c>
      <c r="E13" s="1" t="s">
        <v>43</v>
      </c>
      <c r="F13" s="3">
        <f>($F$7+$F$8+$F$9)*(1+$F$10)^2</f>
        <v>114743.93826167734</v>
      </c>
      <c r="H13" t="s">
        <v>84</v>
      </c>
      <c r="I13" s="3">
        <f>$I$6+($I$6*$I$7*20)</f>
        <v>37200</v>
      </c>
      <c r="K13" t="s">
        <v>93</v>
      </c>
      <c r="L13" s="3">
        <f>$L$6+($L$6*$L$7*20)</f>
        <v>93000</v>
      </c>
      <c r="N13" t="s">
        <v>110</v>
      </c>
      <c r="O13" t="e" vm="8">
        <v>#VALUE!</v>
      </c>
      <c r="P13" s="9" cm="1">
        <f t="array" aca="1" ref="P13" ca="1">_FV(O13,"Price")</f>
        <v>47.77</v>
      </c>
      <c r="Q13" s="10" cm="1">
        <f t="array" aca="1" ref="Q13" ca="1">_FV(O13,"Beta")</f>
        <v>4.4264000000000001</v>
      </c>
      <c r="R13" s="13">
        <v>4.1399999999999999E-2</v>
      </c>
      <c r="S13" s="11">
        <v>0.11</v>
      </c>
      <c r="T13" s="14">
        <f t="shared" ca="1" si="0"/>
        <v>0.34505103999999998</v>
      </c>
      <c r="U13" s="9">
        <f ca="1">$P$13*(1+$T$13)</f>
        <v>64.253088180800006</v>
      </c>
      <c r="V13" s="9">
        <f ca="1">$P$13*(1+$T$13)^2</f>
        <v>86.423683080796749</v>
      </c>
      <c r="W13" s="9">
        <f ca="1">$P$13*(1+$T$13)^5</f>
        <v>210.30474150651503</v>
      </c>
      <c r="X13" s="9">
        <f ca="1">$P$13*(1+$T$13)^10</f>
        <v>925.85481055311061</v>
      </c>
      <c r="Y13" s="9">
        <f ca="1">$P$13*(1+$T$13)^20</f>
        <v>17944.46577819419</v>
      </c>
    </row>
    <row r="14" spans="1:25" x14ac:dyDescent="0.2">
      <c r="A14" s="1" t="s">
        <v>44</v>
      </c>
      <c r="B14" s="2">
        <f>($B$7+$B$8+$B$9)*(1+$B$10)^3</f>
        <v>48750.854399999989</v>
      </c>
      <c r="E14" s="1" t="s">
        <v>44</v>
      </c>
      <c r="F14" s="3">
        <f>($F$7+$F$8+$F$9)*(1+$F$10)^3</f>
        <v>126218.33208784509</v>
      </c>
      <c r="H14" t="s">
        <v>85</v>
      </c>
      <c r="I14" s="3">
        <f>$I$6+($I$6*$I$7*30)</f>
        <v>45800</v>
      </c>
      <c r="K14" t="s">
        <v>94</v>
      </c>
      <c r="L14" s="3">
        <f>$L$6+($L$6*$L$7*30)</f>
        <v>114500</v>
      </c>
      <c r="N14" t="s">
        <v>111</v>
      </c>
      <c r="O14" t="e" vm="9">
        <v>#VALUE!</v>
      </c>
      <c r="P14" s="9" cm="1">
        <f t="array" aca="1" ref="P14" ca="1">_FV(O14,"Price")</f>
        <v>445.26330000000002</v>
      </c>
      <c r="Q14" s="10" cm="1">
        <f t="array" aca="1" ref="Q14" ca="1">_FV(O14,"Beta")</f>
        <v>1.8369</v>
      </c>
      <c r="R14" s="13">
        <v>4.1399999999999999E-2</v>
      </c>
      <c r="S14" s="11">
        <v>0.11</v>
      </c>
      <c r="T14" s="14">
        <f t="shared" ca="1" si="0"/>
        <v>0.16741133999999999</v>
      </c>
      <c r="U14" s="9">
        <f ca="1">$P$14*(1+$T$14)</f>
        <v>519.80542570582202</v>
      </c>
      <c r="V14" s="9">
        <f ca="1">$P$14*(1+$T$14)^2</f>
        <v>606.82674856250401</v>
      </c>
      <c r="W14" s="9">
        <f ca="1">$P$14*(1+$T$14)^5</f>
        <v>965.46478778216238</v>
      </c>
      <c r="X14" s="9">
        <f ca="1">$P$14*(1+$T$14)^10</f>
        <v>2093.4181111429029</v>
      </c>
      <c r="Y14" s="9">
        <f ca="1">$P$14*(1+$T$14)^20</f>
        <v>9842.2649880668778</v>
      </c>
    </row>
    <row r="15" spans="1:25" x14ac:dyDescent="0.2">
      <c r="A15" s="1" t="s">
        <v>45</v>
      </c>
      <c r="B15" s="2">
        <f>($B$7+$B$8+$B$9)*(1+$B$10)^4</f>
        <v>52650.922751999991</v>
      </c>
      <c r="E15" s="1" t="s">
        <v>45</v>
      </c>
      <c r="F15" s="3">
        <f>($F$7+$F$8+$F$9)*(1+$F$10)^4</f>
        <v>138840.1652966296</v>
      </c>
      <c r="H15" t="s">
        <v>86</v>
      </c>
      <c r="I15" s="3">
        <f>$I$6+($I$6*$I$7*40)</f>
        <v>54399.999999999993</v>
      </c>
      <c r="N15" t="s">
        <v>112</v>
      </c>
      <c r="O15" t="e" vm="10">
        <v>#VALUE!</v>
      </c>
      <c r="P15" s="9" cm="1">
        <f t="array" aca="1" ref="P15" ca="1">_FV(O15,"Price")</f>
        <v>56.01</v>
      </c>
      <c r="Q15" s="10" cm="1">
        <f t="array" aca="1" ref="Q15" ca="1">_FV(O15,"Beta")</f>
        <v>3.1355</v>
      </c>
      <c r="R15" s="13">
        <v>4.1399999999999999E-2</v>
      </c>
      <c r="S15" s="11">
        <v>0.11</v>
      </c>
      <c r="T15" s="14">
        <f t="shared" ca="1" si="0"/>
        <v>0.25649529999999998</v>
      </c>
      <c r="U15" s="9">
        <f ca="1">$P$15*(1+$T$15)</f>
        <v>70.376301753000007</v>
      </c>
      <c r="V15" s="9">
        <f ca="1">$P$15*(1+$T$15)^2</f>
        <v>88.42749238402628</v>
      </c>
      <c r="W15" s="9">
        <f ca="1">$P$15*(1+$T$15)^5</f>
        <v>175.4162872618958</v>
      </c>
      <c r="X15" s="9">
        <f ca="1">$P$15*(1+$T$15)^10</f>
        <v>549.38178605156133</v>
      </c>
      <c r="Y15" s="9">
        <f ca="1">$P$15*(1+$T$15)^20</f>
        <v>5388.6867853098302</v>
      </c>
    </row>
    <row r="16" spans="1:25" x14ac:dyDescent="0.2">
      <c r="A16" s="1" t="s">
        <v>46</v>
      </c>
      <c r="B16" s="2">
        <f>($B$7+$B$8+$B$9)*(1+$B$10)^5</f>
        <v>56862.996572159995</v>
      </c>
      <c r="E16" s="1" t="s">
        <v>46</v>
      </c>
      <c r="F16" s="3">
        <f>($F$7+$F$8+$F$9)*(1+$F$10)^5</f>
        <v>152724.18182629257</v>
      </c>
      <c r="H16" t="s">
        <v>87</v>
      </c>
      <c r="I16" s="3">
        <f>$I$6+($I$6*$I$7*50)</f>
        <v>62999.999999999993</v>
      </c>
      <c r="N16" t="s">
        <v>113</v>
      </c>
      <c r="O16" t="e" vm="11">
        <v>#VALUE!</v>
      </c>
      <c r="P16" s="9" cm="1">
        <f t="array" aca="1" ref="P16" ca="1">_FV(O16,"Price")</f>
        <v>148.04</v>
      </c>
      <c r="Q16" s="10" cm="1">
        <f t="array" aca="1" ref="Q16" ca="1">_FV(O16,"Beta")</f>
        <v>0.9748</v>
      </c>
      <c r="R16" s="13">
        <v>4.1399999999999999E-2</v>
      </c>
      <c r="S16" s="11">
        <v>0.11</v>
      </c>
      <c r="T16" s="14">
        <f t="shared" ca="1" si="0"/>
        <v>0.10827128</v>
      </c>
      <c r="U16" s="9">
        <f ca="1">$P$16*(1+$T$16)</f>
        <v>164.06848029119999</v>
      </c>
      <c r="V16" s="9">
        <f ca="1">$P$16*(1+$T$16)^2</f>
        <v>181.83238465998301</v>
      </c>
      <c r="W16" s="9">
        <f ca="1">$P$16*(1+$T$16)^5</f>
        <v>247.51952976323523</v>
      </c>
      <c r="X16" s="9">
        <f ca="1">$P$16*(1+$T$16)^10</f>
        <v>413.84705224407656</v>
      </c>
      <c r="Y16" s="9">
        <f ca="1">$P$16*(1+$T$16)^20</f>
        <v>1156.9128792968886</v>
      </c>
    </row>
    <row r="17" spans="1:25" x14ac:dyDescent="0.2">
      <c r="A17" s="1" t="s">
        <v>47</v>
      </c>
      <c r="B17" s="2">
        <f>($B$7+$B$8+$B$9)*(1+$B$10)^6</f>
        <v>61412.036297932798</v>
      </c>
      <c r="E17" s="1" t="s">
        <v>47</v>
      </c>
      <c r="F17" s="3">
        <f>($F$7+$F$8+$F$9)*(1+$F$10)^6</f>
        <v>167996.60000892184</v>
      </c>
      <c r="N17" t="s">
        <v>114</v>
      </c>
      <c r="O17" t="e" vm="12">
        <v>#VALUE!</v>
      </c>
      <c r="P17" s="9" cm="1">
        <f t="array" aca="1" ref="P17" ca="1">_FV(O17,"Price")</f>
        <v>326.56</v>
      </c>
      <c r="Q17" s="10" cm="1">
        <f t="array" aca="1" ref="Q17" ca="1">_FV(O17,"Beta")</f>
        <v>0.82179999999999997</v>
      </c>
      <c r="R17" s="13">
        <v>4.1399999999999999E-2</v>
      </c>
      <c r="S17" s="11">
        <v>0.11</v>
      </c>
      <c r="T17" s="14">
        <f t="shared" ca="1" si="0"/>
        <v>9.7775479999999998E-2</v>
      </c>
      <c r="U17" s="9">
        <f ca="1">$P$17*(1+$T$17)</f>
        <v>358.48956074879999</v>
      </c>
      <c r="V17" s="9">
        <f ca="1">$P$17*(1+$T$17)^2</f>
        <v>393.54104962600297</v>
      </c>
      <c r="W17" s="9">
        <f ca="1">$P$17*(1+$T$17)^5</f>
        <v>520.63171228449391</v>
      </c>
      <c r="X17" s="9">
        <f ca="1">$P$17*(1+$T$17)^10</f>
        <v>830.03852228161452</v>
      </c>
      <c r="Y17" s="9">
        <f ca="1">$P$17*(1+$T$17)^20</f>
        <v>2109.7622135945803</v>
      </c>
    </row>
    <row r="18" spans="1:25" x14ac:dyDescent="0.2">
      <c r="A18" s="1" t="s">
        <v>48</v>
      </c>
      <c r="B18" s="2">
        <f>($B$7+$B$8+$B$9)*(1+$B$10)^7</f>
        <v>66324.999201767423</v>
      </c>
      <c r="E18" s="1" t="s">
        <v>48</v>
      </c>
      <c r="F18" s="3">
        <f>($F$7+$F$8+$F$9)*(1+$F$10)^7</f>
        <v>184796.26000981405</v>
      </c>
      <c r="N18" t="s">
        <v>115</v>
      </c>
      <c r="O18" t="e" vm="13">
        <v>#VALUE!</v>
      </c>
      <c r="P18" s="9" cm="1">
        <f t="array" aca="1" ref="P18" ca="1">_FV(O18,"Price")</f>
        <v>125.39</v>
      </c>
      <c r="Q18" s="10" cm="1">
        <f t="array" aca="1" ref="Q18" ca="1">_FV(O18,"Beta")</f>
        <v>1.1123000000000001</v>
      </c>
      <c r="R18" s="13">
        <v>4.1399999999999999E-2</v>
      </c>
      <c r="S18" s="11">
        <v>0.11</v>
      </c>
      <c r="T18" s="14">
        <f t="shared" ca="1" si="0"/>
        <v>0.11770378000000001</v>
      </c>
      <c r="U18" s="9">
        <f ca="1">$P$18*(1+$T$18)</f>
        <v>140.14887697419999</v>
      </c>
      <c r="V18" s="9">
        <f ca="1">$P$18*(1+$T$18)^2</f>
        <v>156.64492955681831</v>
      </c>
      <c r="W18" s="9">
        <f ca="1">$P$18*(1+$T$18)^5</f>
        <v>218.72403082161026</v>
      </c>
      <c r="X18" s="9">
        <f ca="1">$P$18*(1+$T$18)^10</f>
        <v>381.53123581507867</v>
      </c>
      <c r="Y18" s="9">
        <f ca="1">$P$18*(1+$T$18)^20</f>
        <v>1160.9066424960615</v>
      </c>
    </row>
    <row r="19" spans="1:25" x14ac:dyDescent="0.2">
      <c r="A19" s="1" t="s">
        <v>49</v>
      </c>
      <c r="B19" s="2">
        <f>($B$7+$B$8+$B$9)*(1+$B$10)^8</f>
        <v>71630.999137908817</v>
      </c>
      <c r="E19" s="1" t="s">
        <v>49</v>
      </c>
      <c r="F19" s="3">
        <f>($F$7+$F$8+$F$9)*(1+$F$10)^8</f>
        <v>203275.88601079545</v>
      </c>
      <c r="N19" t="s">
        <v>108</v>
      </c>
      <c r="O19" t="e" vm="6">
        <v>#VALUE!</v>
      </c>
      <c r="P19" s="9" cm="1">
        <f t="array" aca="1" ref="P19" ca="1">_FV(O19,"Price")</f>
        <v>55.164999999999999</v>
      </c>
      <c r="Q19" s="10" cm="1">
        <f t="array" aca="1" ref="Q19" ca="1">_FV(O19,"Beta")</f>
        <v>1.4114</v>
      </c>
      <c r="R19" s="13">
        <v>4.1399999999999999E-2</v>
      </c>
      <c r="S19" s="11">
        <v>0.11</v>
      </c>
      <c r="T19" s="14">
        <f t="shared" ca="1" si="0"/>
        <v>0.13822203999999999</v>
      </c>
      <c r="U19" s="9">
        <f ca="1">$P$19*(1+$T$19)</f>
        <v>62.790018836599998</v>
      </c>
      <c r="V19" s="9">
        <f ca="1">$P$19*(1+$T$19)^2</f>
        <v>71.468983331833286</v>
      </c>
      <c r="W19" s="9">
        <f ca="1">$P$19*(1+$T$19)^5</f>
        <v>105.38979910609916</v>
      </c>
      <c r="X19" s="9">
        <f ca="1">$P$19*(1+$T$19)^10</f>
        <v>201.34160709913783</v>
      </c>
      <c r="Y19" s="9">
        <f ca="1">$P$19*(1+$T$19)^20</f>
        <v>734.85802137702512</v>
      </c>
    </row>
    <row r="20" spans="1:25" x14ac:dyDescent="0.2">
      <c r="A20" s="1" t="s">
        <v>50</v>
      </c>
      <c r="B20" s="2">
        <f>($B$7+$B$8+$B$9)*(1+$B$10)^9</f>
        <v>77361.479068941524</v>
      </c>
      <c r="E20" s="1" t="s">
        <v>50</v>
      </c>
      <c r="F20" s="3">
        <f>($F$7+$F$8+$F$9)*(1+$F$10)^9</f>
        <v>223603.47461187502</v>
      </c>
      <c r="H20" s="6" t="s">
        <v>95</v>
      </c>
      <c r="K20" t="s">
        <v>84</v>
      </c>
      <c r="N20" t="s">
        <v>116</v>
      </c>
      <c r="O20" t="e" vm="14">
        <v>#VALUE!</v>
      </c>
      <c r="P20" s="9" cm="1">
        <f t="array" aca="1" ref="P20" ca="1">_FV(O20,"Price")</f>
        <v>122.74</v>
      </c>
      <c r="Q20" s="10" cm="1">
        <f t="array" aca="1" ref="Q20" ca="1">_FV(O20,"Beta")</f>
        <v>3.0013000000000001</v>
      </c>
      <c r="R20" s="13">
        <v>4.1399999999999999E-2</v>
      </c>
      <c r="S20" s="11">
        <v>0.11</v>
      </c>
      <c r="T20" s="14">
        <f t="shared" ca="1" si="0"/>
        <v>0.24728917999999997</v>
      </c>
      <c r="U20" s="9">
        <f ca="1">$P$20*(1+$T$20)</f>
        <v>153.09227395319999</v>
      </c>
      <c r="V20" s="9">
        <f ca="1">$P$20*(1+$T$20)^2</f>
        <v>190.95033684342215</v>
      </c>
      <c r="W20" s="9">
        <f ca="1">$P$20*(1+$T$20)^5</f>
        <v>370.52873490723368</v>
      </c>
      <c r="X20" s="9">
        <f ca="1">$P$20*(1+$T$20)^10</f>
        <v>1118.5558366624985</v>
      </c>
      <c r="Y20" s="9">
        <f ca="1">$P$20*(1+$T$20)^20</f>
        <v>10193.63825755045</v>
      </c>
    </row>
    <row r="21" spans="1:25" x14ac:dyDescent="0.2">
      <c r="A21" s="1" t="s">
        <v>51</v>
      </c>
      <c r="B21" s="2">
        <f>($B$7+$B$8+$B$9)*(1+$B$10)^10</f>
        <v>83550.397394456857</v>
      </c>
      <c r="E21" s="1" t="s">
        <v>51</v>
      </c>
      <c r="F21" s="3">
        <f>($F$7+$F$8+$F$9)*(1+$F$10)^10</f>
        <v>245963.82207306253</v>
      </c>
      <c r="H21" t="s">
        <v>96</v>
      </c>
      <c r="I21" s="2">
        <v>1000</v>
      </c>
      <c r="K21" t="s">
        <v>101</v>
      </c>
      <c r="L21" s="2">
        <v>10000</v>
      </c>
      <c r="T21" s="1" t="s">
        <v>128</v>
      </c>
      <c r="U21" s="9">
        <f ca="1">SUM(U6:U20)</f>
        <v>2955.7660718920224</v>
      </c>
      <c r="V21" s="9">
        <f t="shared" ref="V21:Y21" ca="1" si="1">SUM(V6:V20)</f>
        <v>3401.2671198160101</v>
      </c>
      <c r="W21" s="9">
        <f t="shared" ca="1" si="1"/>
        <v>5267.6841168867595</v>
      </c>
      <c r="X21" s="15">
        <f t="shared" ca="1" si="1"/>
        <v>11602.236506272022</v>
      </c>
      <c r="Y21" s="9">
        <f t="shared" ca="1" si="1"/>
        <v>73782.598303097097</v>
      </c>
    </row>
    <row r="22" spans="1:25" x14ac:dyDescent="0.2">
      <c r="A22" s="1" t="s">
        <v>52</v>
      </c>
      <c r="B22" s="2">
        <f>($B$7+$B$8+$B$9)*(1+$B$10)^11</f>
        <v>90234.429186013396</v>
      </c>
      <c r="E22" s="1" t="s">
        <v>52</v>
      </c>
      <c r="F22" s="3">
        <f>($F$7+$F$8+$F$9)*(1+$F$10)^11</f>
        <v>270560.20428036881</v>
      </c>
      <c r="H22" t="s">
        <v>97</v>
      </c>
      <c r="I22" s="7">
        <v>0.08</v>
      </c>
      <c r="K22" t="s">
        <v>102</v>
      </c>
      <c r="L22" s="7">
        <v>0.08</v>
      </c>
    </row>
    <row r="23" spans="1:25" x14ac:dyDescent="0.2">
      <c r="A23" s="1" t="s">
        <v>53</v>
      </c>
      <c r="B23" s="2">
        <f>($B$7+$B$8+$B$9)*(1+$B$10)^12</f>
        <v>97453.183520894483</v>
      </c>
      <c r="E23" s="1" t="s">
        <v>53</v>
      </c>
      <c r="F23" s="3">
        <f>($F$7+$F$8+$F$9)*(1+$F$10)^12</f>
        <v>297616.22470840573</v>
      </c>
      <c r="H23" t="s">
        <v>98</v>
      </c>
      <c r="I23" t="s">
        <v>99</v>
      </c>
      <c r="K23" t="s">
        <v>98</v>
      </c>
      <c r="L23" t="s">
        <v>90</v>
      </c>
    </row>
    <row r="24" spans="1:25" x14ac:dyDescent="0.2">
      <c r="A24" s="1" t="s">
        <v>54</v>
      </c>
      <c r="B24" s="2">
        <f>($B$7+$B$8+$B$9)*(1+$B$10)^13</f>
        <v>105249.43820256605</v>
      </c>
      <c r="E24" s="1" t="s">
        <v>54</v>
      </c>
      <c r="F24" s="3">
        <f>($F$7+$F$8+$F$9)*(1+$F$10)^13</f>
        <v>327377.84717924631</v>
      </c>
    </row>
    <row r="25" spans="1:25" x14ac:dyDescent="0.2">
      <c r="A25" s="1" t="s">
        <v>55</v>
      </c>
      <c r="B25" s="2">
        <f>($B$7+$B$8+$B$9)*(1+$B$10)^14</f>
        <v>113669.39325877135</v>
      </c>
      <c r="E25" s="1" t="s">
        <v>55</v>
      </c>
      <c r="F25" s="3">
        <f>($F$7+$F$8+$F$9)*(1+$F$10)^14</f>
        <v>360115.63189717097</v>
      </c>
      <c r="H25" t="s">
        <v>100</v>
      </c>
      <c r="I25" s="2">
        <f>$I$21*(1+$I$22)</f>
        <v>1080</v>
      </c>
      <c r="K25" t="s">
        <v>100</v>
      </c>
      <c r="L25" s="2">
        <f>$L$21*(1+$L$22)</f>
        <v>10800</v>
      </c>
    </row>
    <row r="26" spans="1:25" x14ac:dyDescent="0.2">
      <c r="A26" s="1" t="s">
        <v>56</v>
      </c>
      <c r="B26" s="2">
        <f>($B$7+$B$8+$B$9)*(1+$B$10)^15</f>
        <v>122762.94471947306</v>
      </c>
      <c r="E26" s="1" t="s">
        <v>56</v>
      </c>
      <c r="F26" s="3">
        <f>($F$7+$F$8+$F$9)*(1+$F$10)^15</f>
        <v>396127.1950868881</v>
      </c>
      <c r="H26" t="s">
        <v>82</v>
      </c>
      <c r="I26" s="2">
        <f>$I$21*(1+$I$22)^5</f>
        <v>1469.3280768000004</v>
      </c>
      <c r="K26" t="s">
        <v>82</v>
      </c>
      <c r="L26" s="2">
        <f>$L$21*(1+$L$22)^5</f>
        <v>14693.280768000004</v>
      </c>
    </row>
    <row r="27" spans="1:25" x14ac:dyDescent="0.2">
      <c r="A27" s="1" t="s">
        <v>57</v>
      </c>
      <c r="B27" s="2">
        <f>($B$7+$B$8+$B$9)*(1+$B$10)^16</f>
        <v>132583.98029703091</v>
      </c>
      <c r="E27" s="1" t="s">
        <v>57</v>
      </c>
      <c r="F27" s="3">
        <f>($F$7+$F$8+$F$9)*(1+$F$10)^16</f>
        <v>435739.91459557693</v>
      </c>
      <c r="H27" t="s">
        <v>83</v>
      </c>
      <c r="I27" s="2">
        <f>$I$21*(1+$I$22)^10</f>
        <v>2158.9249972727876</v>
      </c>
      <c r="K27" t="s">
        <v>83</v>
      </c>
      <c r="L27" s="2">
        <f>$L$21*(1+$L$22)^10</f>
        <v>21589.249972727877</v>
      </c>
    </row>
    <row r="28" spans="1:25" x14ac:dyDescent="0.2">
      <c r="A28" s="1" t="s">
        <v>58</v>
      </c>
      <c r="B28" s="2">
        <f>($B$7+$B$8+$B$9)*(1+$B$10)^17</f>
        <v>143190.69872079339</v>
      </c>
      <c r="E28" s="1" t="s">
        <v>58</v>
      </c>
      <c r="F28" s="3">
        <f>($F$7+$F$8+$F$9)*(1+$F$10)^17</f>
        <v>479313.9060551346</v>
      </c>
      <c r="H28" t="s">
        <v>84</v>
      </c>
      <c r="I28" s="2">
        <f>$I$21*(1+$I$22)^20</f>
        <v>4660.9571438493067</v>
      </c>
      <c r="K28" t="s">
        <v>84</v>
      </c>
      <c r="L28" s="2">
        <f>$L$21*(1+$L$22)^20</f>
        <v>46609.571438493062</v>
      </c>
    </row>
    <row r="29" spans="1:25" x14ac:dyDescent="0.2">
      <c r="A29" s="1" t="s">
        <v>59</v>
      </c>
      <c r="B29" s="2">
        <f>($B$7+$B$8+$B$9)*(1+$B$10)^18</f>
        <v>154645.95461845686</v>
      </c>
      <c r="E29" s="1" t="s">
        <v>59</v>
      </c>
      <c r="F29" s="3">
        <f>($F$7+$F$8+$F$9)*(1+$F$10)^18</f>
        <v>527245.29666064808</v>
      </c>
      <c r="H29" t="s">
        <v>85</v>
      </c>
      <c r="I29" s="2">
        <f>$I$21*(1+$I$22)^30</f>
        <v>10062.656889073445</v>
      </c>
      <c r="K29" t="s">
        <v>85</v>
      </c>
      <c r="L29" s="2">
        <f>$L$21*(1+$L$22)^30</f>
        <v>100626.56889073444</v>
      </c>
    </row>
    <row r="30" spans="1:25" x14ac:dyDescent="0.2">
      <c r="A30" s="1" t="s">
        <v>60</v>
      </c>
      <c r="B30" s="2">
        <f>($B$7+$B$8+$B$9)*(1+$B$10)^19</f>
        <v>167017.63098793343</v>
      </c>
      <c r="E30" s="1" t="s">
        <v>60</v>
      </c>
      <c r="F30" s="3">
        <f>($F$7+$F$8+$F$9)*(1+$F$10)^19</f>
        <v>579969.82632671308</v>
      </c>
      <c r="H30" t="s">
        <v>86</v>
      </c>
      <c r="I30" s="2">
        <f>$I$21*(1+$I$22)^40</f>
        <v>21724.521496799887</v>
      </c>
    </row>
    <row r="31" spans="1:25" x14ac:dyDescent="0.2">
      <c r="A31" s="1" t="s">
        <v>61</v>
      </c>
      <c r="B31" s="2">
        <f>($B$7+$B$8+$B$9)*(1+$B$10)^20</f>
        <v>180379.0414669681</v>
      </c>
      <c r="E31" s="1" t="s">
        <v>61</v>
      </c>
      <c r="F31" s="3">
        <f>($F$7+$F$8+$F$9)*(1+$F$10)^20</f>
        <v>637966.80895938433</v>
      </c>
      <c r="H31" t="s">
        <v>87</v>
      </c>
      <c r="I31" s="2">
        <f>$I$21*(1+$I$22)^50</f>
        <v>46901.61251323131</v>
      </c>
    </row>
    <row r="32" spans="1:25" x14ac:dyDescent="0.2">
      <c r="A32" s="1" t="s">
        <v>62</v>
      </c>
      <c r="B32" s="2">
        <f>($B$7+$B$8+$B$9)*(1+$B$10)^21</f>
        <v>194809.36478432556</v>
      </c>
      <c r="F32" s="3"/>
    </row>
    <row r="33" spans="1:2" x14ac:dyDescent="0.2">
      <c r="A33" s="1" t="s">
        <v>63</v>
      </c>
      <c r="B33" s="2">
        <f>($B$7+$B$8+$B$9)*(1+$B$10)^22</f>
        <v>210394.11396707164</v>
      </c>
    </row>
    <row r="34" spans="1:2" x14ac:dyDescent="0.2">
      <c r="A34" s="1" t="s">
        <v>64</v>
      </c>
      <c r="B34" s="2">
        <f>($B$7+$B$8+$B$9)*(1+$B$10)^23</f>
        <v>227225.64308443735</v>
      </c>
    </row>
    <row r="35" spans="1:2" x14ac:dyDescent="0.2">
      <c r="A35" s="1" t="s">
        <v>65</v>
      </c>
      <c r="B35" s="2">
        <f>($B$7+$B$8+$B$9)*(1+$B$10)^24</f>
        <v>245403.69453119236</v>
      </c>
    </row>
    <row r="36" spans="1:2" x14ac:dyDescent="0.2">
      <c r="A36" s="1" t="s">
        <v>66</v>
      </c>
      <c r="B36" s="2">
        <f>($B$7+$B$8+$B$9)*(1+$B$10)^25</f>
        <v>265035.99009368778</v>
      </c>
    </row>
    <row r="37" spans="1:2" x14ac:dyDescent="0.2">
      <c r="A37" s="1" t="s">
        <v>67</v>
      </c>
      <c r="B37" s="2">
        <f>($B$7+$B$8+$B$9)*(1+$B$10)^26</f>
        <v>286238.86930118274</v>
      </c>
    </row>
    <row r="38" spans="1:2" x14ac:dyDescent="0.2">
      <c r="A38" s="1" t="s">
        <v>68</v>
      </c>
      <c r="B38" s="2">
        <f>($B$7+$B$8+$B$9)*(1+$B$10)^27</f>
        <v>309137.97884527739</v>
      </c>
    </row>
    <row r="39" spans="1:2" x14ac:dyDescent="0.2">
      <c r="A39" s="1" t="s">
        <v>69</v>
      </c>
      <c r="B39" s="2">
        <f>($B$7+$B$8+$B$9)*(1+$B$10)^28</f>
        <v>333869.01715289959</v>
      </c>
    </row>
    <row r="40" spans="1:2" x14ac:dyDescent="0.2">
      <c r="A40" s="1" t="s">
        <v>70</v>
      </c>
      <c r="B40" s="2">
        <f>($B$7+$B$8+$B$9)*(1+$B$10)^29</f>
        <v>360578.53852513159</v>
      </c>
    </row>
    <row r="41" spans="1:2" x14ac:dyDescent="0.2">
      <c r="A41" s="1" t="s">
        <v>71</v>
      </c>
      <c r="B41" s="2">
        <f>($B$7+$B$8+$B$9)*(1+$B$10)^30</f>
        <v>389424.82160714216</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0E29-8909-8440-BE55-2898BADC1714}">
  <dimension ref="A2:S53"/>
  <sheetViews>
    <sheetView workbookViewId="0">
      <selection activeCell="P38" sqref="P38"/>
    </sheetView>
  </sheetViews>
  <sheetFormatPr baseColWidth="10" defaultRowHeight="16" x14ac:dyDescent="0.2"/>
  <cols>
    <col min="1" max="1" width="25.6640625" customWidth="1"/>
    <col min="2" max="2" width="15.83203125" customWidth="1"/>
    <col min="4" max="4" width="15.33203125" customWidth="1"/>
    <col min="7" max="7" width="18" customWidth="1"/>
    <col min="8" max="8" width="28" customWidth="1"/>
    <col min="9" max="9" width="18" customWidth="1"/>
    <col min="10" max="10" width="22.5" customWidth="1"/>
    <col min="11" max="11" width="20.6640625" customWidth="1"/>
    <col min="12" max="12" width="15" customWidth="1"/>
    <col min="16" max="16" width="18.6640625" customWidth="1"/>
    <col min="17" max="17" width="19.1640625" customWidth="1"/>
    <col min="18" max="18" width="20.5" customWidth="1"/>
  </cols>
  <sheetData>
    <row r="2" spans="1:18" x14ac:dyDescent="0.2">
      <c r="A2" s="1" t="s">
        <v>129</v>
      </c>
    </row>
    <row r="3" spans="1:18" x14ac:dyDescent="0.2">
      <c r="A3" t="s">
        <v>136</v>
      </c>
    </row>
    <row r="4" spans="1:18" x14ac:dyDescent="0.2">
      <c r="A4" s="6" t="s">
        <v>135</v>
      </c>
    </row>
    <row r="5" spans="1:18" x14ac:dyDescent="0.2">
      <c r="A5" t="s">
        <v>130</v>
      </c>
      <c r="B5">
        <v>250000</v>
      </c>
    </row>
    <row r="6" spans="1:18" x14ac:dyDescent="0.2">
      <c r="A6" t="s">
        <v>131</v>
      </c>
      <c r="B6" s="7">
        <v>0.06</v>
      </c>
    </row>
    <row r="7" spans="1:18" x14ac:dyDescent="0.2">
      <c r="A7" t="s">
        <v>132</v>
      </c>
      <c r="B7" s="7">
        <v>0.04</v>
      </c>
    </row>
    <row r="8" spans="1:18" x14ac:dyDescent="0.2">
      <c r="A8" t="s">
        <v>134</v>
      </c>
      <c r="B8">
        <f>B5*B6</f>
        <v>15000</v>
      </c>
    </row>
    <row r="9" spans="1:18" x14ac:dyDescent="0.2">
      <c r="A9" t="s">
        <v>137</v>
      </c>
      <c r="B9">
        <v>30</v>
      </c>
    </row>
    <row r="11" spans="1:18" x14ac:dyDescent="0.2">
      <c r="A11" t="s">
        <v>133</v>
      </c>
      <c r="B11" s="3">
        <f>PV(B7,30,-B8,-B5)</f>
        <v>336460.16650332243</v>
      </c>
    </row>
    <row r="13" spans="1:18" x14ac:dyDescent="0.2">
      <c r="N13" s="6" t="s">
        <v>192</v>
      </c>
    </row>
    <row r="14" spans="1:18" x14ac:dyDescent="0.2">
      <c r="A14" s="6" t="s">
        <v>138</v>
      </c>
      <c r="G14" t="s">
        <v>169</v>
      </c>
    </row>
    <row r="15" spans="1:18" x14ac:dyDescent="0.2">
      <c r="B15" s="7"/>
      <c r="D15" t="s">
        <v>170</v>
      </c>
    </row>
    <row r="16" spans="1:18" x14ac:dyDescent="0.2">
      <c r="A16" t="s">
        <v>140</v>
      </c>
      <c r="B16" s="12">
        <f>799000</f>
        <v>799000</v>
      </c>
      <c r="D16" t="s">
        <v>159</v>
      </c>
      <c r="E16" s="2">
        <f>B26</f>
        <v>2600</v>
      </c>
      <c r="G16" t="s">
        <v>171</v>
      </c>
      <c r="H16" t="s">
        <v>172</v>
      </c>
      <c r="I16" t="s">
        <v>173</v>
      </c>
      <c r="J16" t="s">
        <v>174</v>
      </c>
      <c r="K16" t="s">
        <v>175</v>
      </c>
      <c r="L16" t="s">
        <v>176</v>
      </c>
      <c r="N16" t="s">
        <v>171</v>
      </c>
      <c r="O16" t="s">
        <v>193</v>
      </c>
      <c r="P16" t="s">
        <v>195</v>
      </c>
      <c r="Q16" t="s">
        <v>194</v>
      </c>
      <c r="R16" t="s">
        <v>196</v>
      </c>
    </row>
    <row r="17" spans="1:19" x14ac:dyDescent="0.2">
      <c r="A17" t="s">
        <v>141</v>
      </c>
      <c r="B17" s="7">
        <v>0.2</v>
      </c>
      <c r="D17" t="s">
        <v>160</v>
      </c>
      <c r="E17" s="2">
        <f>B27</f>
        <v>2600</v>
      </c>
      <c r="G17">
        <v>1</v>
      </c>
      <c r="H17" s="2">
        <f>(B26+B27+B28)*12</f>
        <v>93600</v>
      </c>
      <c r="I17" s="2">
        <f>H17*(B29+B30+B31)</f>
        <v>21528.000000000004</v>
      </c>
      <c r="J17" s="3">
        <f>(B22*12)+B23+B24</f>
        <v>62035.203290605663</v>
      </c>
      <c r="K17" s="3">
        <f>H17-I17-J17</f>
        <v>10036.796709394337</v>
      </c>
      <c r="L17" s="17">
        <f>B16*(1+B33)</f>
        <v>822970</v>
      </c>
      <c r="N17">
        <v>1</v>
      </c>
      <c r="O17" s="2">
        <v>200000</v>
      </c>
      <c r="P17" s="16">
        <f>O17*0.6</f>
        <v>120000</v>
      </c>
      <c r="Q17" s="2">
        <f>O17*0.3</f>
        <v>60000</v>
      </c>
      <c r="R17" s="16">
        <f>O17-P17-Q17</f>
        <v>20000</v>
      </c>
    </row>
    <row r="18" spans="1:19" x14ac:dyDescent="0.2">
      <c r="A18" s="7" t="s">
        <v>142</v>
      </c>
      <c r="B18" s="2">
        <f>B16*B17</f>
        <v>159800</v>
      </c>
      <c r="D18" t="s">
        <v>161</v>
      </c>
      <c r="E18" s="2">
        <f>E16+E17</f>
        <v>5200</v>
      </c>
      <c r="G18">
        <v>2</v>
      </c>
      <c r="H18" s="3">
        <f>H17*(1+$B$32)</f>
        <v>95939.999999999985</v>
      </c>
      <c r="I18" s="3">
        <f>I17*(1+$B$32)</f>
        <v>22066.2</v>
      </c>
      <c r="J18" s="3">
        <f>($B$22*12)+($B$23*(1+$B$32)^G19)+($B$24*(1+$B$32)^G19)</f>
        <v>63123.728490605659</v>
      </c>
      <c r="K18" s="3">
        <f>H18-I18-J18</f>
        <v>10750.071509394329</v>
      </c>
      <c r="L18" s="17">
        <f>L17*(1+$B$33)</f>
        <v>847659.1</v>
      </c>
      <c r="N18">
        <v>2</v>
      </c>
      <c r="O18" s="2">
        <v>200000</v>
      </c>
      <c r="P18" s="16">
        <f t="shared" ref="P18:P36" si="0">O18*0.6</f>
        <v>120000</v>
      </c>
      <c r="Q18" s="2">
        <f t="shared" ref="Q18:Q36" si="1">O18*0.3</f>
        <v>60000</v>
      </c>
      <c r="R18" s="16">
        <f t="shared" ref="R18:R36" si="2">O18-P18-Q18</f>
        <v>20000</v>
      </c>
    </row>
    <row r="19" spans="1:19" x14ac:dyDescent="0.2">
      <c r="A19" t="s">
        <v>143</v>
      </c>
      <c r="B19" s="17">
        <f>B16-B18</f>
        <v>639200</v>
      </c>
      <c r="D19" t="s">
        <v>162</v>
      </c>
      <c r="E19" s="2">
        <f>E18*B29</f>
        <v>260</v>
      </c>
      <c r="G19">
        <v>3</v>
      </c>
      <c r="H19" s="3">
        <f t="shared" ref="H19:H36" si="3">H18*(1+$B$32)</f>
        <v>98338.499999999971</v>
      </c>
      <c r="I19" s="3">
        <f t="shared" ref="I19:I36" si="4">I18*(1+$B$32)</f>
        <v>22617.855</v>
      </c>
      <c r="J19" s="3">
        <f t="shared" ref="J19:J36" si="5">($B$22*12)+($B$23*(1+$B$32)^G20)+($B$24*(1+$B$32)^G20)</f>
        <v>63504.861620605661</v>
      </c>
      <c r="K19" s="3">
        <f t="shared" ref="K19:K36" si="6">H19-I19-J19</f>
        <v>12215.783379394314</v>
      </c>
      <c r="L19" s="17">
        <f t="shared" ref="L19:L36" si="7">L18*(1+$B$33)</f>
        <v>873088.87300000002</v>
      </c>
      <c r="N19">
        <v>3</v>
      </c>
      <c r="O19" s="2">
        <v>200000</v>
      </c>
      <c r="P19" s="16">
        <f t="shared" si="0"/>
        <v>120000</v>
      </c>
      <c r="Q19" s="2">
        <f t="shared" si="1"/>
        <v>60000</v>
      </c>
      <c r="R19" s="16">
        <f t="shared" si="2"/>
        <v>20000</v>
      </c>
      <c r="S19" t="s">
        <v>198</v>
      </c>
    </row>
    <row r="20" spans="1:19" x14ac:dyDescent="0.2">
      <c r="A20" t="s">
        <v>144</v>
      </c>
      <c r="B20" s="8">
        <v>6.3799999999999996E-2</v>
      </c>
      <c r="D20" t="s">
        <v>163</v>
      </c>
      <c r="E20" s="2">
        <f>E18*B30</f>
        <v>520</v>
      </c>
      <c r="G20">
        <v>4</v>
      </c>
      <c r="H20" s="3">
        <f t="shared" si="3"/>
        <v>100796.96249999997</v>
      </c>
      <c r="I20" s="3">
        <f t="shared" si="4"/>
        <v>23183.301374999999</v>
      </c>
      <c r="J20" s="3">
        <f t="shared" si="5"/>
        <v>63895.523078855658</v>
      </c>
      <c r="K20" s="3">
        <f t="shared" si="6"/>
        <v>13718.138046144311</v>
      </c>
      <c r="L20" s="17">
        <f t="shared" si="7"/>
        <v>899281.53919000004</v>
      </c>
      <c r="N20">
        <v>4</v>
      </c>
      <c r="O20" s="2">
        <v>250000</v>
      </c>
      <c r="P20" s="16">
        <f t="shared" si="0"/>
        <v>150000</v>
      </c>
      <c r="Q20" s="2">
        <f t="shared" si="1"/>
        <v>75000</v>
      </c>
      <c r="R20" s="16">
        <f t="shared" si="2"/>
        <v>25000</v>
      </c>
    </row>
    <row r="21" spans="1:19" x14ac:dyDescent="0.2">
      <c r="A21" t="s">
        <v>145</v>
      </c>
      <c r="B21" s="18">
        <v>30</v>
      </c>
      <c r="D21" t="s">
        <v>164</v>
      </c>
      <c r="E21" s="2">
        <f>E18*B31</f>
        <v>416</v>
      </c>
      <c r="G21">
        <v>5</v>
      </c>
      <c r="H21" s="3">
        <f t="shared" si="3"/>
        <v>103316.88656249996</v>
      </c>
      <c r="I21" s="3">
        <f t="shared" si="4"/>
        <v>23762.883909374996</v>
      </c>
      <c r="J21" s="3">
        <f t="shared" si="5"/>
        <v>64295.951073561897</v>
      </c>
      <c r="K21" s="3">
        <f t="shared" si="6"/>
        <v>15258.051579563064</v>
      </c>
      <c r="L21" s="17">
        <f t="shared" si="7"/>
        <v>926259.98536570009</v>
      </c>
      <c r="N21">
        <v>5</v>
      </c>
      <c r="O21" s="2">
        <v>250000</v>
      </c>
      <c r="P21" s="16">
        <f t="shared" si="0"/>
        <v>150000</v>
      </c>
      <c r="Q21" s="2">
        <f t="shared" si="1"/>
        <v>75000</v>
      </c>
      <c r="R21" s="16">
        <f t="shared" si="2"/>
        <v>25000</v>
      </c>
    </row>
    <row r="22" spans="1:19" x14ac:dyDescent="0.2">
      <c r="A22" t="s">
        <v>146</v>
      </c>
      <c r="B22" s="3">
        <f>-PMT(B20/12,B21*12,B19)</f>
        <v>3989.866940883805</v>
      </c>
      <c r="D22" t="s">
        <v>165</v>
      </c>
      <c r="E22" s="2">
        <f>E18-E19-E20-E21</f>
        <v>4004</v>
      </c>
      <c r="G22">
        <v>6</v>
      </c>
      <c r="H22" s="3">
        <f t="shared" si="3"/>
        <v>105899.80872656245</v>
      </c>
      <c r="I22" s="3">
        <f t="shared" si="4"/>
        <v>24356.956007109369</v>
      </c>
      <c r="J22" s="3">
        <f t="shared" si="5"/>
        <v>64706.389768135807</v>
      </c>
      <c r="K22" s="3">
        <f t="shared" si="6"/>
        <v>16836.462951317269</v>
      </c>
      <c r="L22" s="17">
        <f t="shared" si="7"/>
        <v>954047.78492667107</v>
      </c>
      <c r="N22">
        <v>6</v>
      </c>
      <c r="O22" s="2">
        <v>250000</v>
      </c>
      <c r="P22" s="16">
        <f t="shared" si="0"/>
        <v>150000</v>
      </c>
      <c r="Q22" s="2">
        <f t="shared" si="1"/>
        <v>75000</v>
      </c>
      <c r="R22" s="16">
        <f t="shared" si="2"/>
        <v>25000</v>
      </c>
    </row>
    <row r="23" spans="1:19" x14ac:dyDescent="0.2">
      <c r="A23" t="s">
        <v>147</v>
      </c>
      <c r="B23" s="2">
        <v>12399</v>
      </c>
      <c r="D23" t="s">
        <v>166</v>
      </c>
      <c r="E23" s="3">
        <f>B23/12</f>
        <v>1033.25</v>
      </c>
      <c r="G23">
        <v>7</v>
      </c>
      <c r="H23" s="3">
        <f t="shared" si="3"/>
        <v>108547.3039447265</v>
      </c>
      <c r="I23" s="3">
        <f t="shared" si="4"/>
        <v>24965.879907287101</v>
      </c>
      <c r="J23" s="3">
        <f t="shared" si="5"/>
        <v>65127.089430074062</v>
      </c>
      <c r="K23" s="3">
        <f t="shared" si="6"/>
        <v>18454.334607365337</v>
      </c>
      <c r="L23" s="17">
        <f t="shared" si="7"/>
        <v>982669.21847447124</v>
      </c>
      <c r="N23">
        <v>7</v>
      </c>
      <c r="O23" s="2">
        <v>250000</v>
      </c>
      <c r="P23" s="16">
        <f t="shared" si="0"/>
        <v>150000</v>
      </c>
      <c r="Q23" s="2">
        <f t="shared" si="1"/>
        <v>75000</v>
      </c>
      <c r="R23" s="16">
        <f t="shared" si="2"/>
        <v>25000</v>
      </c>
    </row>
    <row r="24" spans="1:19" x14ac:dyDescent="0.2">
      <c r="A24" t="s">
        <v>148</v>
      </c>
      <c r="B24" s="3">
        <f>B16*0.22%</f>
        <v>1757.8000000000002</v>
      </c>
      <c r="D24" t="s">
        <v>167</v>
      </c>
      <c r="E24" s="3">
        <f>B24/12</f>
        <v>146.48333333333335</v>
      </c>
      <c r="G24">
        <v>8</v>
      </c>
      <c r="H24" s="3">
        <f t="shared" si="3"/>
        <v>111260.98654334465</v>
      </c>
      <c r="I24" s="3">
        <f t="shared" si="4"/>
        <v>25590.026904969276</v>
      </c>
      <c r="J24" s="3">
        <f t="shared" si="5"/>
        <v>65558.30658356077</v>
      </c>
      <c r="K24" s="3">
        <f t="shared" si="6"/>
        <v>20112.653054814611</v>
      </c>
      <c r="L24" s="17">
        <f t="shared" si="7"/>
        <v>1012149.2950287054</v>
      </c>
      <c r="N24">
        <v>8</v>
      </c>
      <c r="O24" s="2">
        <v>250000</v>
      </c>
      <c r="P24" s="16">
        <f t="shared" si="0"/>
        <v>150000</v>
      </c>
      <c r="Q24" s="2">
        <f t="shared" si="1"/>
        <v>75000</v>
      </c>
      <c r="R24" s="16">
        <f t="shared" si="2"/>
        <v>25000</v>
      </c>
    </row>
    <row r="25" spans="1:19" x14ac:dyDescent="0.2">
      <c r="A25" t="s">
        <v>149</v>
      </c>
      <c r="B25" s="2">
        <v>150000</v>
      </c>
      <c r="D25" t="s">
        <v>168</v>
      </c>
      <c r="E25" s="3">
        <f>E22-E23-E24</f>
        <v>2824.2666666666664</v>
      </c>
      <c r="G25">
        <v>9</v>
      </c>
      <c r="H25" s="3">
        <f t="shared" si="3"/>
        <v>114042.51120692826</v>
      </c>
      <c r="I25" s="3">
        <f t="shared" si="4"/>
        <v>26229.777577593504</v>
      </c>
      <c r="J25" s="3">
        <f t="shared" si="5"/>
        <v>66000.304165884649</v>
      </c>
      <c r="K25" s="3">
        <f t="shared" si="6"/>
        <v>21812.429463450113</v>
      </c>
      <c r="L25" s="17">
        <f t="shared" si="7"/>
        <v>1042513.7738795666</v>
      </c>
      <c r="N25">
        <v>9</v>
      </c>
      <c r="O25" s="2">
        <v>300000</v>
      </c>
      <c r="P25" s="16">
        <f t="shared" si="0"/>
        <v>180000</v>
      </c>
      <c r="Q25" s="2">
        <f t="shared" si="1"/>
        <v>90000</v>
      </c>
      <c r="R25" s="16">
        <f t="shared" si="2"/>
        <v>30000</v>
      </c>
    </row>
    <row r="26" spans="1:19" x14ac:dyDescent="0.2">
      <c r="A26" t="s">
        <v>151</v>
      </c>
      <c r="B26" s="2">
        <v>2600</v>
      </c>
      <c r="G26">
        <v>10</v>
      </c>
      <c r="H26" s="3">
        <f t="shared" si="3"/>
        <v>116893.57398710145</v>
      </c>
      <c r="I26" s="3">
        <f t="shared" si="4"/>
        <v>26885.522017033338</v>
      </c>
      <c r="J26" s="3">
        <f t="shared" si="5"/>
        <v>66453.351687766626</v>
      </c>
      <c r="K26" s="3">
        <f t="shared" si="6"/>
        <v>23554.700282301492</v>
      </c>
      <c r="L26" s="17">
        <f t="shared" si="7"/>
        <v>1073789.1870959536</v>
      </c>
      <c r="N26">
        <v>10</v>
      </c>
      <c r="O26" s="2">
        <v>300000</v>
      </c>
      <c r="P26" s="16">
        <f t="shared" si="0"/>
        <v>180000</v>
      </c>
      <c r="Q26" s="2">
        <f t="shared" si="1"/>
        <v>90000</v>
      </c>
      <c r="R26" s="16">
        <f t="shared" si="2"/>
        <v>30000</v>
      </c>
    </row>
    <row r="27" spans="1:19" x14ac:dyDescent="0.2">
      <c r="A27" t="s">
        <v>152</v>
      </c>
      <c r="B27" s="2">
        <v>2600</v>
      </c>
      <c r="G27">
        <v>11</v>
      </c>
      <c r="H27" s="3">
        <f t="shared" si="3"/>
        <v>119815.91333677898</v>
      </c>
      <c r="I27" s="3">
        <f t="shared" si="4"/>
        <v>27557.660067459168</v>
      </c>
      <c r="J27" s="3">
        <f t="shared" si="5"/>
        <v>66917.725397695642</v>
      </c>
      <c r="K27" s="3">
        <f t="shared" si="6"/>
        <v>25340.527871624159</v>
      </c>
      <c r="L27" s="17">
        <f t="shared" si="7"/>
        <v>1106002.8627088324</v>
      </c>
      <c r="N27">
        <v>11</v>
      </c>
      <c r="O27" s="2">
        <v>300000</v>
      </c>
      <c r="P27" s="16">
        <f t="shared" si="0"/>
        <v>180000</v>
      </c>
      <c r="Q27" s="2">
        <f t="shared" si="1"/>
        <v>90000</v>
      </c>
      <c r="R27" s="16">
        <f t="shared" si="2"/>
        <v>30000</v>
      </c>
    </row>
    <row r="28" spans="1:19" x14ac:dyDescent="0.2">
      <c r="A28" t="s">
        <v>153</v>
      </c>
      <c r="B28" s="2">
        <v>2600</v>
      </c>
      <c r="G28">
        <v>12</v>
      </c>
      <c r="H28" s="3">
        <f t="shared" si="3"/>
        <v>122811.31117019845</v>
      </c>
      <c r="I28" s="3">
        <f t="shared" si="4"/>
        <v>28246.601569145645</v>
      </c>
      <c r="J28" s="3">
        <f t="shared" si="5"/>
        <v>67393.708450372884</v>
      </c>
      <c r="K28" s="3">
        <f t="shared" si="6"/>
        <v>27171.00115067992</v>
      </c>
      <c r="L28" s="17">
        <f t="shared" si="7"/>
        <v>1139182.9485900975</v>
      </c>
      <c r="N28">
        <v>12</v>
      </c>
      <c r="O28" s="2">
        <v>300000</v>
      </c>
      <c r="P28" s="16">
        <f t="shared" si="0"/>
        <v>180000</v>
      </c>
      <c r="Q28" s="2">
        <f t="shared" si="1"/>
        <v>90000</v>
      </c>
      <c r="R28" s="16">
        <f t="shared" si="2"/>
        <v>30000</v>
      </c>
    </row>
    <row r="29" spans="1:19" x14ac:dyDescent="0.2">
      <c r="A29" t="s">
        <v>154</v>
      </c>
      <c r="B29" s="7">
        <v>0.05</v>
      </c>
      <c r="G29">
        <v>13</v>
      </c>
      <c r="H29" s="3">
        <f t="shared" si="3"/>
        <v>125881.5939494534</v>
      </c>
      <c r="I29" s="3">
        <f t="shared" si="4"/>
        <v>28952.766608374284</v>
      </c>
      <c r="J29" s="3">
        <f t="shared" si="5"/>
        <v>67881.591079367077</v>
      </c>
      <c r="K29" s="3">
        <f t="shared" si="6"/>
        <v>29047.236261712038</v>
      </c>
      <c r="L29" s="17">
        <f t="shared" si="7"/>
        <v>1173358.4370478005</v>
      </c>
      <c r="N29">
        <v>13</v>
      </c>
      <c r="O29" s="2">
        <v>300000</v>
      </c>
      <c r="P29" s="16">
        <f t="shared" si="0"/>
        <v>180000</v>
      </c>
      <c r="Q29" s="2">
        <f t="shared" si="1"/>
        <v>90000</v>
      </c>
      <c r="R29" s="16">
        <f t="shared" si="2"/>
        <v>30000</v>
      </c>
    </row>
    <row r="30" spans="1:19" x14ac:dyDescent="0.2">
      <c r="A30" t="s">
        <v>155</v>
      </c>
      <c r="B30" s="7">
        <v>0.1</v>
      </c>
      <c r="G30">
        <v>14</v>
      </c>
      <c r="H30" s="3">
        <f t="shared" si="3"/>
        <v>129028.63379818972</v>
      </c>
      <c r="I30" s="3">
        <f t="shared" si="4"/>
        <v>29676.58577358364</v>
      </c>
      <c r="J30" s="3">
        <f t="shared" si="5"/>
        <v>68381.670774086117</v>
      </c>
      <c r="K30" s="3">
        <f t="shared" si="6"/>
        <v>30970.377250519959</v>
      </c>
      <c r="L30" s="17">
        <f t="shared" si="7"/>
        <v>1208559.1901592345</v>
      </c>
      <c r="N30">
        <v>14</v>
      </c>
      <c r="O30" s="2">
        <v>350000</v>
      </c>
      <c r="P30" s="16">
        <f t="shared" si="0"/>
        <v>210000</v>
      </c>
      <c r="Q30" s="2">
        <f t="shared" si="1"/>
        <v>105000</v>
      </c>
      <c r="R30" s="16">
        <f t="shared" si="2"/>
        <v>35000</v>
      </c>
    </row>
    <row r="31" spans="1:19" x14ac:dyDescent="0.2">
      <c r="A31" t="s">
        <v>156</v>
      </c>
      <c r="B31" s="7">
        <v>0.08</v>
      </c>
      <c r="G31">
        <v>15</v>
      </c>
      <c r="H31" s="3">
        <f t="shared" si="3"/>
        <v>132254.34964314447</v>
      </c>
      <c r="I31" s="3">
        <f t="shared" si="4"/>
        <v>30418.500417923227</v>
      </c>
      <c r="J31" s="3">
        <f t="shared" si="5"/>
        <v>68894.252461173121</v>
      </c>
      <c r="K31" s="3">
        <f t="shared" si="6"/>
        <v>32941.59676404811</v>
      </c>
      <c r="L31" s="17">
        <f t="shared" si="7"/>
        <v>1244815.9658640116</v>
      </c>
      <c r="N31">
        <v>15</v>
      </c>
      <c r="O31" s="2">
        <v>350000</v>
      </c>
      <c r="P31" s="16">
        <f t="shared" si="0"/>
        <v>210000</v>
      </c>
      <c r="Q31" s="2">
        <f t="shared" si="1"/>
        <v>105000</v>
      </c>
      <c r="R31" s="16">
        <f t="shared" si="2"/>
        <v>35000</v>
      </c>
    </row>
    <row r="32" spans="1:19" x14ac:dyDescent="0.2">
      <c r="A32" t="s">
        <v>157</v>
      </c>
      <c r="B32" s="8">
        <v>2.5000000000000001E-2</v>
      </c>
      <c r="G32">
        <v>16</v>
      </c>
      <c r="H32" s="3">
        <f t="shared" si="3"/>
        <v>135560.70838422308</v>
      </c>
      <c r="I32" s="3">
        <f t="shared" si="4"/>
        <v>31178.962928371304</v>
      </c>
      <c r="J32" s="3">
        <f t="shared" si="5"/>
        <v>69419.648690437301</v>
      </c>
      <c r="K32" s="3">
        <f t="shared" si="6"/>
        <v>34962.096765414477</v>
      </c>
      <c r="L32" s="17">
        <f t="shared" si="7"/>
        <v>1282160.444839932</v>
      </c>
      <c r="N32">
        <v>16</v>
      </c>
      <c r="O32" s="2">
        <v>350000</v>
      </c>
      <c r="P32" s="16">
        <f t="shared" si="0"/>
        <v>210000</v>
      </c>
      <c r="Q32" s="2">
        <f t="shared" si="1"/>
        <v>105000</v>
      </c>
      <c r="R32" s="16">
        <f t="shared" si="2"/>
        <v>35000</v>
      </c>
    </row>
    <row r="33" spans="1:18" x14ac:dyDescent="0.2">
      <c r="A33" t="s">
        <v>158</v>
      </c>
      <c r="B33" s="7">
        <v>0.03</v>
      </c>
      <c r="G33">
        <v>17</v>
      </c>
      <c r="H33" s="3">
        <f t="shared" si="3"/>
        <v>138949.72609382865</v>
      </c>
      <c r="I33" s="3">
        <f t="shared" si="4"/>
        <v>31958.437001580583</v>
      </c>
      <c r="J33" s="3">
        <f t="shared" si="5"/>
        <v>69958.179825433093</v>
      </c>
      <c r="K33" s="3">
        <f t="shared" si="6"/>
        <v>37033.109266814979</v>
      </c>
      <c r="L33" s="17">
        <f t="shared" si="7"/>
        <v>1320625.2581851301</v>
      </c>
      <c r="N33">
        <v>17</v>
      </c>
      <c r="O33" s="2">
        <v>350000</v>
      </c>
      <c r="P33" s="16">
        <f t="shared" si="0"/>
        <v>210000</v>
      </c>
      <c r="Q33" s="2">
        <f t="shared" si="1"/>
        <v>105000</v>
      </c>
      <c r="R33" s="16">
        <f t="shared" si="2"/>
        <v>35000</v>
      </c>
    </row>
    <row r="34" spans="1:18" x14ac:dyDescent="0.2">
      <c r="G34">
        <v>18</v>
      </c>
      <c r="H34" s="3">
        <f t="shared" si="3"/>
        <v>142423.46924617435</v>
      </c>
      <c r="I34" s="3">
        <f t="shared" si="4"/>
        <v>32757.397926620095</v>
      </c>
      <c r="J34" s="3">
        <f t="shared" si="5"/>
        <v>70510.174238803782</v>
      </c>
      <c r="K34" s="3">
        <f t="shared" si="6"/>
        <v>39155.897080750481</v>
      </c>
      <c r="L34" s="17">
        <f t="shared" si="7"/>
        <v>1360244.0159306841</v>
      </c>
      <c r="N34">
        <v>18</v>
      </c>
      <c r="O34" s="2">
        <v>350000</v>
      </c>
      <c r="P34" s="16">
        <f t="shared" si="0"/>
        <v>210000</v>
      </c>
      <c r="Q34" s="2">
        <f t="shared" si="1"/>
        <v>105000</v>
      </c>
      <c r="R34" s="16">
        <f t="shared" si="2"/>
        <v>35000</v>
      </c>
    </row>
    <row r="35" spans="1:18" x14ac:dyDescent="0.2">
      <c r="G35">
        <v>19</v>
      </c>
      <c r="H35" s="3">
        <f t="shared" si="3"/>
        <v>145984.05597732871</v>
      </c>
      <c r="I35" s="3">
        <f t="shared" si="4"/>
        <v>33576.332874785592</v>
      </c>
      <c r="J35" s="3">
        <f t="shared" si="5"/>
        <v>71075.968512508727</v>
      </c>
      <c r="K35" s="3">
        <f t="shared" si="6"/>
        <v>41331.754590034398</v>
      </c>
      <c r="L35" s="17">
        <f t="shared" si="7"/>
        <v>1401051.3364086046</v>
      </c>
      <c r="N35">
        <v>19</v>
      </c>
      <c r="O35" s="2">
        <v>400000</v>
      </c>
      <c r="P35" s="16">
        <f t="shared" si="0"/>
        <v>240000</v>
      </c>
      <c r="Q35" s="2">
        <f t="shared" si="1"/>
        <v>120000</v>
      </c>
      <c r="R35" s="16">
        <f t="shared" si="2"/>
        <v>40000</v>
      </c>
    </row>
    <row r="36" spans="1:18" x14ac:dyDescent="0.2">
      <c r="G36">
        <v>20</v>
      </c>
      <c r="H36" s="3">
        <f t="shared" si="3"/>
        <v>149633.65737676193</v>
      </c>
      <c r="I36" s="3">
        <f t="shared" si="4"/>
        <v>34415.741196655232</v>
      </c>
      <c r="J36" s="3">
        <f t="shared" si="5"/>
        <v>62035.203290605663</v>
      </c>
      <c r="K36" s="3">
        <f t="shared" si="6"/>
        <v>53182.712889501032</v>
      </c>
      <c r="L36" s="17">
        <f t="shared" si="7"/>
        <v>1443082.8765008629</v>
      </c>
      <c r="N36">
        <v>20</v>
      </c>
      <c r="O36" s="2">
        <v>400000</v>
      </c>
      <c r="P36" s="16">
        <f t="shared" si="0"/>
        <v>240000</v>
      </c>
      <c r="Q36" s="2">
        <f t="shared" si="1"/>
        <v>120000</v>
      </c>
      <c r="R36" s="16">
        <f t="shared" si="2"/>
        <v>40000</v>
      </c>
    </row>
    <row r="37" spans="1:18" x14ac:dyDescent="0.2">
      <c r="P37" s="16">
        <f>SUM(P17:P36)</f>
        <v>3540000</v>
      </c>
      <c r="Q37" s="2">
        <f>SUM(Q17:Q36)</f>
        <v>1770000</v>
      </c>
    </row>
    <row r="38" spans="1:18" x14ac:dyDescent="0.2">
      <c r="H38" t="s">
        <v>177</v>
      </c>
      <c r="I38" s="5">
        <f>2600*2</f>
        <v>5200</v>
      </c>
      <c r="K38" t="s">
        <v>187</v>
      </c>
      <c r="L38" s="17">
        <f>L36</f>
        <v>1443082.8765008629</v>
      </c>
      <c r="N38" s="22" t="s">
        <v>197</v>
      </c>
      <c r="P38" s="2">
        <f>1500000</f>
        <v>1500000</v>
      </c>
    </row>
    <row r="39" spans="1:18" x14ac:dyDescent="0.2">
      <c r="H39" t="s">
        <v>178</v>
      </c>
      <c r="I39" s="19">
        <f>I38-3990-1033-146-1196</f>
        <v>-1165</v>
      </c>
      <c r="K39" t="s">
        <v>188</v>
      </c>
      <c r="L39" s="17">
        <f>B19/1.802</f>
        <v>354716.98113207548</v>
      </c>
    </row>
    <row r="40" spans="1:18" x14ac:dyDescent="0.2">
      <c r="H40" t="s">
        <v>179</v>
      </c>
      <c r="I40" s="19">
        <f>I39+2600</f>
        <v>1435</v>
      </c>
      <c r="K40" t="s">
        <v>189</v>
      </c>
      <c r="L40" s="17">
        <f>L38-L39</f>
        <v>1088365.8953687875</v>
      </c>
      <c r="P40" t="s">
        <v>199</v>
      </c>
    </row>
    <row r="41" spans="1:18" x14ac:dyDescent="0.2">
      <c r="K41" t="s">
        <v>190</v>
      </c>
      <c r="L41" s="3">
        <f>SUM(K17:K36)</f>
        <v>513885.7314742388</v>
      </c>
    </row>
    <row r="42" spans="1:18" x14ac:dyDescent="0.2">
      <c r="H42" t="s">
        <v>150</v>
      </c>
      <c r="I42" s="12">
        <f>2600*(1.025)^20</f>
        <v>4260.4027447550288</v>
      </c>
    </row>
    <row r="43" spans="1:18" x14ac:dyDescent="0.2">
      <c r="H43" t="s">
        <v>180</v>
      </c>
      <c r="I43" s="17">
        <f>I42*3</f>
        <v>12781.208234265087</v>
      </c>
    </row>
    <row r="44" spans="1:18" x14ac:dyDescent="0.2">
      <c r="H44" t="s">
        <v>181</v>
      </c>
      <c r="I44" s="17">
        <f>I43*12</f>
        <v>153374.49881118105</v>
      </c>
      <c r="K44" s="1" t="s">
        <v>191</v>
      </c>
      <c r="L44" s="21">
        <f>L40+L41+I53</f>
        <v>1648045.4610940705</v>
      </c>
    </row>
    <row r="46" spans="1:18" x14ac:dyDescent="0.2">
      <c r="H46" t="s">
        <v>182</v>
      </c>
      <c r="I46" s="17">
        <f>I44*0.23</f>
        <v>35276.134726571647</v>
      </c>
    </row>
    <row r="47" spans="1:18" x14ac:dyDescent="0.2">
      <c r="H47" t="s">
        <v>183</v>
      </c>
      <c r="I47" s="20">
        <f>I44*0.14</f>
        <v>21472.429833565351</v>
      </c>
    </row>
    <row r="48" spans="1:18" x14ac:dyDescent="0.2">
      <c r="H48" t="s">
        <v>184</v>
      </c>
      <c r="I48" s="10">
        <v>2932.1</v>
      </c>
    </row>
    <row r="49" spans="8:9" x14ac:dyDescent="0.2">
      <c r="H49" t="s">
        <v>139</v>
      </c>
      <c r="I49" s="2">
        <v>47900</v>
      </c>
    </row>
    <row r="51" spans="8:9" x14ac:dyDescent="0.2">
      <c r="H51" t="s">
        <v>185</v>
      </c>
      <c r="I51" s="17">
        <f>I46+I47+I48+I49</f>
        <v>107580.664560137</v>
      </c>
    </row>
    <row r="53" spans="8:9" x14ac:dyDescent="0.2">
      <c r="H53" t="s">
        <v>186</v>
      </c>
      <c r="I53" s="17">
        <f>I44-I51</f>
        <v>45793.834251044056</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03961-6651-D444-92A5-166BC1B53044}">
  <dimension ref="A1:D11"/>
  <sheetViews>
    <sheetView workbookViewId="0">
      <selection activeCell="E22" sqref="E22"/>
    </sheetView>
  </sheetViews>
  <sheetFormatPr baseColWidth="10" defaultRowHeight="16" x14ac:dyDescent="0.2"/>
  <cols>
    <col min="2" max="2" width="21.6640625" customWidth="1"/>
    <col min="4" max="4" width="19.1640625" customWidth="1"/>
  </cols>
  <sheetData>
    <row r="1" spans="1:4" x14ac:dyDescent="0.2">
      <c r="A1" t="s">
        <v>200</v>
      </c>
    </row>
    <row r="4" spans="1:4" x14ac:dyDescent="0.2">
      <c r="A4" t="s">
        <v>201</v>
      </c>
      <c r="D4">
        <f>Sheet4!P37</f>
        <v>3540000</v>
      </c>
    </row>
    <row r="6" spans="1:4" x14ac:dyDescent="0.2">
      <c r="A6" s="1" t="s">
        <v>191</v>
      </c>
      <c r="B6" s="21">
        <f ca="1">D11+Sheet2!L140/2</f>
        <v>4045958.8536049235</v>
      </c>
      <c r="D6">
        <f>D4/4</f>
        <v>885000</v>
      </c>
    </row>
    <row r="7" spans="1:4" x14ac:dyDescent="0.2">
      <c r="D7" s="17">
        <f>D6+Sheet4!L44</f>
        <v>2533045.4610940702</v>
      </c>
    </row>
    <row r="8" spans="1:4" x14ac:dyDescent="0.2">
      <c r="D8" s="17">
        <f>D7+Sheet4!B11</f>
        <v>2869505.6275973925</v>
      </c>
    </row>
    <row r="9" spans="1:4" x14ac:dyDescent="0.2">
      <c r="D9" s="17">
        <f>D8+Sheet3!B19+Sheet3!F31</f>
        <v>3579103.4356946857</v>
      </c>
    </row>
    <row r="10" spans="1:4" x14ac:dyDescent="0.2">
      <c r="D10" s="17">
        <f>D9+Sheet3!I16+Sheet3!I31+Sheet3!L14+Sheet3!L29</f>
        <v>3904131.6170986514</v>
      </c>
    </row>
    <row r="11" spans="1:4" x14ac:dyDescent="0.2">
      <c r="D11" s="17">
        <f ca="1">D10+Sheet3!X21</f>
        <v>3915733.8536049235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Olivo</dc:creator>
  <cp:lastModifiedBy>Matthew Olivo</cp:lastModifiedBy>
  <dcterms:created xsi:type="dcterms:W3CDTF">2025-12-06T18:10:19Z</dcterms:created>
  <dcterms:modified xsi:type="dcterms:W3CDTF">2025-12-09T21:29:38Z</dcterms:modified>
</cp:coreProperties>
</file>